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urabhibiyani/Desktop/PCC/"/>
    </mc:Choice>
  </mc:AlternateContent>
  <xr:revisionPtr revIDLastSave="0" documentId="13_ncr:1_{4C4940BB-5F06-1D49-931E-D96EE43D4CC7}" xr6:coauthVersionLast="43" xr6:coauthVersionMax="43" xr10:uidLastSave="{00000000-0000-0000-0000-000000000000}"/>
  <bookViews>
    <workbookView xWindow="5960" yWindow="600" windowWidth="18020" windowHeight="14060" tabRatio="808" xr2:uid="{00000000-000D-0000-FFFF-FFFF00000000}"/>
  </bookViews>
  <sheets>
    <sheet name="Simple Snow Melt Model" sheetId="4" r:id="rId1"/>
    <sheet name="INPUT Options" sheetId="5" r:id="rId2"/>
    <sheet name="Historic Snoquamlie Flood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6" i="4" l="1"/>
  <c r="AC6" i="4"/>
  <c r="AC8" i="4" l="1"/>
  <c r="R12" i="4" s="1"/>
  <c r="B17" i="4" s="1"/>
  <c r="Z64" i="4"/>
  <c r="R64" i="4"/>
  <c r="B22" i="4" s="1"/>
  <c r="H16" i="4"/>
  <c r="AC33" i="4"/>
  <c r="Z54" i="4"/>
  <c r="AC54" i="4" s="1"/>
  <c r="R55" i="4" s="1"/>
  <c r="B21" i="4" s="1"/>
  <c r="AC45" i="4"/>
  <c r="AC44" i="4" s="1"/>
  <c r="AC43" i="4" s="1"/>
  <c r="Z43" i="4"/>
  <c r="Z36" i="4"/>
  <c r="Z21" i="4"/>
  <c r="Z20" i="4"/>
  <c r="B51" i="4" s="1"/>
  <c r="Z8" i="4"/>
  <c r="AC34" i="4" l="1"/>
  <c r="AC37" i="4"/>
  <c r="R65" i="4"/>
  <c r="R66" i="4" s="1"/>
  <c r="R67" i="4" s="1"/>
  <c r="R13" i="4"/>
  <c r="R14" i="4" s="1"/>
  <c r="R56" i="4"/>
  <c r="R57" i="4" s="1"/>
  <c r="AC46" i="4"/>
  <c r="R68" i="4" l="1"/>
  <c r="R16" i="4" l="1"/>
  <c r="R15" i="4"/>
  <c r="R59" i="4"/>
  <c r="R58" i="4"/>
  <c r="AC20" i="4" l="1"/>
  <c r="R23" i="4" s="1"/>
  <c r="B18" i="4" s="1"/>
  <c r="R24" i="4" l="1"/>
  <c r="R25" i="4" s="1"/>
  <c r="R26" i="4" l="1"/>
  <c r="R27" i="4"/>
  <c r="AC35" i="4"/>
  <c r="AC36" i="4" s="1"/>
  <c r="AC38" i="4" l="1"/>
  <c r="AC39" i="4" s="1"/>
  <c r="R44" i="4" l="1"/>
  <c r="B20" i="4" s="1"/>
  <c r="R32" i="4"/>
  <c r="B19" i="4" s="1"/>
  <c r="R33" i="4" l="1"/>
  <c r="R34" i="4" s="1"/>
  <c r="R45" i="4"/>
  <c r="R46" i="4" s="1"/>
  <c r="B23" i="4" l="1"/>
  <c r="C23" i="4" s="1"/>
  <c r="R35" i="4"/>
  <c r="R36" i="4"/>
  <c r="R48" i="4"/>
  <c r="R47" i="4"/>
  <c r="D23" i="4" l="1"/>
  <c r="G17" i="4" s="1"/>
  <c r="H17" i="4" s="1"/>
  <c r="G18" i="4" l="1"/>
  <c r="H18" i="4" s="1"/>
  <c r="E23" i="4"/>
</calcChain>
</file>

<file path=xl/sharedStrings.xml><?xml version="1.0" encoding="utf-8"?>
<sst xmlns="http://schemas.openxmlformats.org/spreadsheetml/2006/main" count="415" uniqueCount="162">
  <si>
    <t>Constants</t>
  </si>
  <si>
    <t>Latent Heat of Fusion</t>
  </si>
  <si>
    <t>J/kg</t>
  </si>
  <si>
    <t>Air Temperature</t>
  </si>
  <si>
    <t>C</t>
  </si>
  <si>
    <t>mm/day</t>
  </si>
  <si>
    <t>Net Solar</t>
  </si>
  <si>
    <t>Net Longwave</t>
  </si>
  <si>
    <t>Sensible Heat Flux</t>
  </si>
  <si>
    <t>Latent Heat Flux</t>
  </si>
  <si>
    <t>Heat from Rain</t>
  </si>
  <si>
    <t>Ground Heat Flux</t>
  </si>
  <si>
    <t>Wind Speed</t>
  </si>
  <si>
    <t>Relative Humidity</t>
  </si>
  <si>
    <t>Rain Fall</t>
  </si>
  <si>
    <t>UNITS</t>
  </si>
  <si>
    <t>m/s</t>
  </si>
  <si>
    <t>%</t>
  </si>
  <si>
    <t>mm</t>
  </si>
  <si>
    <t>VALUE</t>
  </si>
  <si>
    <t>EB Component</t>
  </si>
  <si>
    <t>CALCULATIONS</t>
  </si>
  <si>
    <t>Net Solar Radiation</t>
  </si>
  <si>
    <t xml:space="preserve">    </t>
  </si>
  <si>
    <t xml:space="preserve"> </t>
  </si>
  <si>
    <t>Variables</t>
  </si>
  <si>
    <t>Qs</t>
  </si>
  <si>
    <t>Alebdo</t>
  </si>
  <si>
    <t>W/m^2</t>
  </si>
  <si>
    <t>Fraction</t>
  </si>
  <si>
    <t>Qsnet = Incoming * (1 - Albedo)</t>
  </si>
  <si>
    <t>J/(s*m^2)</t>
  </si>
  <si>
    <t>Net flux</t>
  </si>
  <si>
    <t>Total Energy</t>
  </si>
  <si>
    <t>Seconds per Day</t>
  </si>
  <si>
    <t>s</t>
  </si>
  <si>
    <t>value</t>
  </si>
  <si>
    <t>unit</t>
  </si>
  <si>
    <t>J</t>
  </si>
  <si>
    <t>Converted J/s to J over one day</t>
  </si>
  <si>
    <t>Density of Liquid Water</t>
  </si>
  <si>
    <t>kg/m^3</t>
  </si>
  <si>
    <t>m</t>
  </si>
  <si>
    <t>Melted SWE</t>
  </si>
  <si>
    <t>Energy Flux (W/m^2)</t>
  </si>
  <si>
    <t>Surface Temperature</t>
  </si>
  <si>
    <t>Net Longwave Radiation</t>
  </si>
  <si>
    <t>Qlnet = Incoming - (sigma*Tsrf^4)</t>
  </si>
  <si>
    <t>J / (s*m^2*T^4)</t>
  </si>
  <si>
    <t>Stephan Boltzman(sigma)</t>
  </si>
  <si>
    <t>Qli</t>
  </si>
  <si>
    <t>in</t>
  </si>
  <si>
    <t>Density of air</t>
  </si>
  <si>
    <t>Specific heat of air at constant pressure</t>
  </si>
  <si>
    <t>J/(K*kg)</t>
  </si>
  <si>
    <t>s/m</t>
  </si>
  <si>
    <t>Gravity</t>
  </si>
  <si>
    <t>m/(s^2)</t>
  </si>
  <si>
    <t>Initial Snow Depth</t>
  </si>
  <si>
    <t>Initial Snow Density</t>
  </si>
  <si>
    <t>Zo - Snow Surface Roughness</t>
  </si>
  <si>
    <t>d - zero plane displacement height</t>
  </si>
  <si>
    <t xml:space="preserve">Ri - Richardson's Number </t>
  </si>
  <si>
    <t>Ri - Limit</t>
  </si>
  <si>
    <t>Aerodynamic Resistance Corrected</t>
  </si>
  <si>
    <t>Critical Richardson number</t>
  </si>
  <si>
    <t>unitless</t>
  </si>
  <si>
    <t>Ri_correction</t>
  </si>
  <si>
    <t>Nuetral aerodynamic resistance</t>
  </si>
  <si>
    <t>von Karman's constant</t>
  </si>
  <si>
    <t>Adjusted aurodymaic Resistance</t>
  </si>
  <si>
    <t>latent heat of vaporization</t>
  </si>
  <si>
    <t>Air Pressure</t>
  </si>
  <si>
    <t>Pa</t>
  </si>
  <si>
    <t>Vapor Pressure</t>
  </si>
  <si>
    <t>Saturated Vapor Pressure</t>
  </si>
  <si>
    <t>eo</t>
  </si>
  <si>
    <t>Latent heat of sublimation</t>
  </si>
  <si>
    <t>Latent heat to use</t>
  </si>
  <si>
    <t>Gas Constant for water vapor</t>
  </si>
  <si>
    <t>J/(s*m^2) or W/m^2</t>
  </si>
  <si>
    <t>Advected Heat from rainfall</t>
  </si>
  <si>
    <t>Total</t>
  </si>
  <si>
    <t>Specific heat of liquid water at 0C</t>
  </si>
  <si>
    <t>Rainfall rate</t>
  </si>
  <si>
    <t>Emissitivity</t>
  </si>
  <si>
    <t>Z -Measurment Height</t>
  </si>
  <si>
    <t>Rainfall</t>
  </si>
  <si>
    <t>Snowmelt</t>
  </si>
  <si>
    <t>Conductivity of Soil</t>
  </si>
  <si>
    <t>W/(m*K)</t>
  </si>
  <si>
    <t xml:space="preserve">Temp Soil </t>
  </si>
  <si>
    <t>Depth of Soil layer</t>
  </si>
  <si>
    <t>Temp Snow bottom layer</t>
  </si>
  <si>
    <t>INPUT (Edit here)</t>
  </si>
  <si>
    <t>SH = density of air * specific heat of air at constant pressure * (Tair - Tsurface) / aerodynamic resistance over snow adjusted for instability</t>
  </si>
  <si>
    <t>LH = latent heat of vaporization * density of air * (0.622/air pressure) * (vapor pressure of air - saturated vapor pressure of snow surface)</t>
  </si>
  <si>
    <t>AH = specific heat of liquid water * density of liquid water * (Tair - Tsurface) * rainfall rate</t>
  </si>
  <si>
    <t>GH = Conductivity of Soil * dT/dz</t>
  </si>
  <si>
    <t>Solar Irradiance</t>
  </si>
  <si>
    <t>Longwave Irradiance</t>
  </si>
  <si>
    <t>W/(m^2*day)</t>
  </si>
  <si>
    <t>Converted J/s to J over one day (average over night and day periods)</t>
  </si>
  <si>
    <t>nicway@u.washington.edu</t>
  </si>
  <si>
    <t>Equation</t>
  </si>
  <si>
    <t>Options for Input data</t>
  </si>
  <si>
    <t xml:space="preserve">Site </t>
  </si>
  <si>
    <t>Case 2: Mid-Winter warm-Heavy Rain, but calm winds</t>
  </si>
  <si>
    <t>Case 1: Spring, Sunny, clear, no rain, calm winds</t>
  </si>
  <si>
    <t>Case 3: Typical Rain-on-Snow conditions</t>
  </si>
  <si>
    <t>(-)</t>
  </si>
  <si>
    <t>(in)</t>
  </si>
  <si>
    <t>Total Energy (J)</t>
  </si>
  <si>
    <t>Simple Energy Balance of a Snowpack for a day</t>
  </si>
  <si>
    <t>Initial Snowpack state</t>
  </si>
  <si>
    <t>Estimated LW based on Air temperature</t>
  </si>
  <si>
    <t>Snoqualmie Pass</t>
  </si>
  <si>
    <t>Equations used here --&gt;</t>
  </si>
  <si>
    <t>Min</t>
  </si>
  <si>
    <t>Max</t>
  </si>
  <si>
    <t>Maximum Precipitation record taken from http://www.climate.washington.edu/facts.html</t>
  </si>
  <si>
    <t>Assuming the snowpack is isothermal (no cold content!)</t>
  </si>
  <si>
    <t>Figure 1</t>
  </si>
  <si>
    <t>Figure 2</t>
  </si>
  <si>
    <t>OUTPUT - Snow Components (see Figure 1 and 2)</t>
  </si>
  <si>
    <t>Figure 3</t>
  </si>
  <si>
    <t>(mm)</t>
  </si>
  <si>
    <t>OUTPUT - Water available for runoff (Figure 3)</t>
  </si>
  <si>
    <t>3) OUPUT tables and graphs are automatically updated below</t>
  </si>
  <si>
    <t>2) Energy fluxes are automatically calculated using equations to the right --&gt;</t>
  </si>
  <si>
    <t>How to Run the Snow Model</t>
  </si>
  <si>
    <t>Diagnostic tools</t>
  </si>
  <si>
    <t>Practical Limits of input variables</t>
  </si>
  <si>
    <t>Equivalent melt (mm)</t>
  </si>
  <si>
    <t>Equivalent melt (in)</t>
  </si>
  <si>
    <t>1) Edit INPUT variables (see other Excel tabs for historical observations)</t>
  </si>
  <si>
    <t>Initial Snow Water Equivalent</t>
  </si>
  <si>
    <t xml:space="preserve">INPUT </t>
  </si>
  <si>
    <t>Snoqualmie Basin</t>
  </si>
  <si>
    <t>Flood of 7-9th Jan. 2009</t>
  </si>
  <si>
    <t>ALAN BERNER / THE SEATTLE TIMES</t>
  </si>
  <si>
    <t>In this photo Thursday (January 8, 2009), floodwaters inundate the Snoqualmie</t>
  </si>
  <si>
    <t>Valley, including a bridge on Northeast 124th Street, south of Duvall.</t>
  </si>
  <si>
    <t>Middle-Elevation Station</t>
  </si>
  <si>
    <t>High-Elevation Station</t>
  </si>
  <si>
    <t>Olallie Meadows</t>
  </si>
  <si>
    <t>Observations</t>
  </si>
  <si>
    <t>Melt (mm)</t>
  </si>
  <si>
    <t>8th</t>
  </si>
  <si>
    <t>8th January Meteorological Input</t>
  </si>
  <si>
    <t>Low-Elevation Station</t>
  </si>
  <si>
    <t>250?</t>
  </si>
  <si>
    <t>Photo of the Snoquamlie Pass Station Towers</t>
  </si>
  <si>
    <t>Surface Saturated Vapor Pressure (w/ respect to ice at 0C)</t>
  </si>
  <si>
    <t>Practical Limits of Output variables</t>
  </si>
  <si>
    <t>Min (mm)</t>
  </si>
  <si>
    <t>Max (mm)</t>
  </si>
  <si>
    <t>Created 7/24/2013, Updated 11/17/2014,  Nic Wayand</t>
  </si>
  <si>
    <t>This is the estimated LW down (input) based on the surface air temperature</t>
  </si>
  <si>
    <t xml:space="preserve">   </t>
  </si>
  <si>
    <t>http://www.nicwayand.com/</t>
  </si>
  <si>
    <t>(taken from Storck 2000)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</si>
</sst>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[$-409]mmmm\ yyyy;@"/>
  </numFmts>
  <fonts count="15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sz val="12.1"/>
      <color rgb="FF000000"/>
      <name val="Calibri"/>
      <family val="2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Border="1"/>
    <xf numFmtId="0" fontId="2" fillId="0" borderId="1" xfId="0" applyFont="1" applyBorder="1"/>
    <xf numFmtId="0" fontId="0" fillId="0" borderId="2" xfId="0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7" xfId="0" applyFill="1" applyBorder="1"/>
    <xf numFmtId="0" fontId="0" fillId="0" borderId="0" xfId="0" applyFill="1" applyBorder="1"/>
    <xf numFmtId="0" fontId="0" fillId="0" borderId="4" xfId="0" applyFill="1" applyBorder="1"/>
    <xf numFmtId="0" fontId="0" fillId="0" borderId="5" xfId="0" applyFill="1" applyBorder="1"/>
    <xf numFmtId="0" fontId="2" fillId="0" borderId="0" xfId="0" applyFont="1" applyBorder="1"/>
    <xf numFmtId="0" fontId="1" fillId="0" borderId="1" xfId="0" applyFont="1" applyBorder="1"/>
    <xf numFmtId="0" fontId="0" fillId="0" borderId="3" xfId="0" applyBorder="1"/>
    <xf numFmtId="0" fontId="2" fillId="0" borderId="4" xfId="0" applyFont="1" applyBorder="1"/>
    <xf numFmtId="0" fontId="2" fillId="0" borderId="5" xfId="0" applyFont="1" applyBorder="1"/>
    <xf numFmtId="0" fontId="0" fillId="0" borderId="0" xfId="0" applyFont="1" applyBorder="1"/>
    <xf numFmtId="0" fontId="0" fillId="0" borderId="5" xfId="0" applyFont="1" applyBorder="1"/>
    <xf numFmtId="0" fontId="0" fillId="0" borderId="8" xfId="0" applyFill="1" applyBorder="1"/>
    <xf numFmtId="0" fontId="0" fillId="0" borderId="4" xfId="0" applyFill="1" applyBorder="1" applyAlignment="1">
      <alignment horizontal="left"/>
    </xf>
    <xf numFmtId="0" fontId="0" fillId="0" borderId="6" xfId="0" applyBorder="1" applyAlignment="1">
      <alignment horizontal="left"/>
    </xf>
    <xf numFmtId="0" fontId="3" fillId="0" borderId="0" xfId="1" applyAlignment="1" applyProtection="1"/>
    <xf numFmtId="2" fontId="0" fillId="0" borderId="0" xfId="0" applyNumberFormat="1" applyBorder="1"/>
    <xf numFmtId="2" fontId="0" fillId="0" borderId="5" xfId="0" applyNumberFormat="1" applyBorder="1"/>
    <xf numFmtId="0" fontId="4" fillId="0" borderId="0" xfId="0" applyFont="1"/>
    <xf numFmtId="0" fontId="5" fillId="0" borderId="0" xfId="0" applyFont="1"/>
    <xf numFmtId="0" fontId="6" fillId="0" borderId="1" xfId="0" applyFont="1" applyBorder="1"/>
    <xf numFmtId="0" fontId="7" fillId="0" borderId="9" xfId="0" applyFont="1" applyBorder="1" applyAlignment="1">
      <alignment horizontal="right"/>
    </xf>
    <xf numFmtId="0" fontId="10" fillId="0" borderId="4" xfId="0" applyFont="1" applyBorder="1"/>
    <xf numFmtId="0" fontId="10" fillId="0" borderId="0" xfId="0" applyFont="1" applyBorder="1"/>
    <xf numFmtId="0" fontId="10" fillId="0" borderId="5" xfId="0" applyFont="1" applyBorder="1"/>
    <xf numFmtId="2" fontId="10" fillId="0" borderId="0" xfId="0" applyNumberFormat="1" applyFont="1" applyBorder="1"/>
    <xf numFmtId="0" fontId="10" fillId="0" borderId="6" xfId="0" applyFont="1" applyBorder="1"/>
    <xf numFmtId="2" fontId="10" fillId="0" borderId="7" xfId="0" applyNumberFormat="1" applyFont="1" applyBorder="1"/>
    <xf numFmtId="2" fontId="10" fillId="0" borderId="5" xfId="0" applyNumberFormat="1" applyFont="1" applyBorder="1"/>
    <xf numFmtId="2" fontId="10" fillId="0" borderId="8" xfId="0" applyNumberFormat="1" applyFont="1" applyBorder="1"/>
    <xf numFmtId="0" fontId="11" fillId="0" borderId="0" xfId="0" applyFont="1"/>
    <xf numFmtId="0" fontId="6" fillId="2" borderId="1" xfId="0" applyFont="1" applyFill="1" applyBorder="1"/>
    <xf numFmtId="0" fontId="0" fillId="0" borderId="0" xfId="0" applyAlignment="1">
      <alignment wrapText="1"/>
    </xf>
    <xf numFmtId="164" fontId="0" fillId="0" borderId="0" xfId="0" applyNumberFormat="1" applyAlignment="1">
      <alignment horizontal="left"/>
    </xf>
    <xf numFmtId="1" fontId="0" fillId="0" borderId="0" xfId="0" applyNumberFormat="1"/>
    <xf numFmtId="0" fontId="0" fillId="0" borderId="0" xfId="0" applyAlignment="1">
      <alignment horizontal="center"/>
    </xf>
    <xf numFmtId="0" fontId="0" fillId="0" borderId="4" xfId="0" applyFill="1" applyBorder="1" applyAlignment="1">
      <alignment wrapText="1"/>
    </xf>
    <xf numFmtId="0" fontId="7" fillId="0" borderId="0" xfId="0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0" fillId="0" borderId="2" xfId="0" applyFill="1" applyBorder="1"/>
    <xf numFmtId="0" fontId="0" fillId="0" borderId="3" xfId="0" applyFill="1" applyBorder="1"/>
    <xf numFmtId="0" fontId="2" fillId="0" borderId="4" xfId="0" applyFont="1" applyFill="1" applyBorder="1"/>
    <xf numFmtId="0" fontId="2" fillId="0" borderId="0" xfId="0" applyFont="1" applyFill="1" applyBorder="1"/>
    <xf numFmtId="0" fontId="2" fillId="0" borderId="5" xfId="0" applyFont="1" applyFill="1" applyBorder="1"/>
    <xf numFmtId="0" fontId="0" fillId="3" borderId="2" xfId="0" applyFill="1" applyBorder="1"/>
    <xf numFmtId="0" fontId="4" fillId="3" borderId="0" xfId="0" applyFont="1" applyFill="1"/>
    <xf numFmtId="0" fontId="4" fillId="4" borderId="0" xfId="0" applyFont="1" applyFill="1" applyAlignment="1">
      <alignment vertical="top"/>
    </xf>
    <xf numFmtId="0" fontId="6" fillId="3" borderId="1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2" fillId="0" borderId="10" xfId="0" applyFont="1" applyBorder="1"/>
    <xf numFmtId="0" fontId="12" fillId="0" borderId="1" xfId="0" applyFont="1" applyBorder="1"/>
    <xf numFmtId="0" fontId="7" fillId="0" borderId="7" xfId="0" applyFont="1" applyBorder="1" applyAlignment="1">
      <alignment horizontal="right"/>
    </xf>
    <xf numFmtId="0" fontId="10" fillId="4" borderId="2" xfId="0" applyFont="1" applyFill="1" applyBorder="1" applyAlignment="1"/>
    <xf numFmtId="0" fontId="4" fillId="4" borderId="3" xfId="0" applyFont="1" applyFill="1" applyBorder="1" applyAlignment="1">
      <alignment horizontal="center"/>
    </xf>
    <xf numFmtId="0" fontId="6" fillId="4" borderId="1" xfId="0" applyFont="1" applyFill="1" applyBorder="1" applyAlignment="1">
      <alignment vertical="center"/>
    </xf>
    <xf numFmtId="0" fontId="8" fillId="0" borderId="6" xfId="0" applyFont="1" applyFill="1" applyBorder="1"/>
    <xf numFmtId="2" fontId="9" fillId="0" borderId="7" xfId="0" applyNumberFormat="1" applyFont="1" applyFill="1" applyBorder="1"/>
    <xf numFmtId="2" fontId="9" fillId="0" borderId="8" xfId="0" applyNumberFormat="1" applyFont="1" applyFill="1" applyBorder="1"/>
    <xf numFmtId="0" fontId="13" fillId="0" borderId="0" xfId="0" applyFont="1"/>
    <xf numFmtId="0" fontId="8" fillId="0" borderId="0" xfId="0" applyFont="1"/>
    <xf numFmtId="0" fontId="1" fillId="0" borderId="0" xfId="0" applyFont="1" applyBorder="1"/>
    <xf numFmtId="0" fontId="14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pieChart>
        <c:varyColors val="1"/>
        <c:ser>
          <c:idx val="3"/>
          <c:order val="0"/>
          <c:tx>
            <c:strRef>
              <c:f>'Simple Snow Melt Model'!$A$17:$A$22</c:f>
              <c:strCache>
                <c:ptCount val="6"/>
                <c:pt idx="0">
                  <c:v>Net Solar</c:v>
                </c:pt>
                <c:pt idx="1">
                  <c:v>Net Longwave</c:v>
                </c:pt>
                <c:pt idx="2">
                  <c:v>Sensible Heat Flux</c:v>
                </c:pt>
                <c:pt idx="3">
                  <c:v>Latent Heat Flux</c:v>
                </c:pt>
                <c:pt idx="4">
                  <c:v>Heat from Rain</c:v>
                </c:pt>
                <c:pt idx="5">
                  <c:v>Ground Heat Flux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'Simple Snow Melt Model'!$A$17:$A$22</c:f>
              <c:strCache>
                <c:ptCount val="6"/>
                <c:pt idx="0">
                  <c:v>Net Solar</c:v>
                </c:pt>
                <c:pt idx="1">
                  <c:v>Net Longwave</c:v>
                </c:pt>
                <c:pt idx="2">
                  <c:v>Sensible Heat Flux</c:v>
                </c:pt>
                <c:pt idx="3">
                  <c:v>Latent Heat Flux</c:v>
                </c:pt>
                <c:pt idx="4">
                  <c:v>Heat from Rain</c:v>
                </c:pt>
                <c:pt idx="5">
                  <c:v>Ground Heat Flux</c:v>
                </c:pt>
              </c:strCache>
            </c:strRef>
          </c:cat>
          <c:val>
            <c:numRef>
              <c:f>'Simple Snow Melt Model'!$B$17:$B$22</c:f>
              <c:numCache>
                <c:formatCode>0.00</c:formatCode>
                <c:ptCount val="6"/>
                <c:pt idx="0">
                  <c:v>64.879999999999981</c:v>
                </c:pt>
                <c:pt idx="1">
                  <c:v>8.5193906095557281</c:v>
                </c:pt>
                <c:pt idx="2">
                  <c:v>10.282479295114209</c:v>
                </c:pt>
                <c:pt idx="3">
                  <c:v>2.1348711303301982</c:v>
                </c:pt>
                <c:pt idx="4">
                  <c:v>0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8-0E43-B3C6-53C469BA71E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overlay val="0"/>
    </c:legend>
    <c:plotVisOnly val="1"/>
    <c:dispBlanksAs val="zero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Water Available for Runoff (mm)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Water Available for Runoff</c:v>
          </c:tx>
          <c:invertIfNegative val="0"/>
          <c:cat>
            <c:strRef>
              <c:f>'Simple Snow Melt Model'!$F$16:$F$18</c:f>
              <c:strCache>
                <c:ptCount val="3"/>
                <c:pt idx="0">
                  <c:v>Rainfall</c:v>
                </c:pt>
                <c:pt idx="1">
                  <c:v>Snowmelt</c:v>
                </c:pt>
                <c:pt idx="2">
                  <c:v>Total</c:v>
                </c:pt>
              </c:strCache>
            </c:strRef>
          </c:cat>
          <c:val>
            <c:numRef>
              <c:f>'Simple Snow Melt Model'!$G$16:$G$18</c:f>
              <c:numCache>
                <c:formatCode>0.00</c:formatCode>
                <c:ptCount val="3"/>
                <c:pt idx="0">
                  <c:v>0</c:v>
                </c:pt>
                <c:pt idx="1">
                  <c:v>22.209647980311406</c:v>
                </c:pt>
                <c:pt idx="2">
                  <c:v>22.209647980311406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A142-BB82-58301319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34528"/>
        <c:axId val="96985472"/>
      </c:barChart>
      <c:catAx>
        <c:axId val="9693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985472"/>
        <c:crosses val="autoZero"/>
        <c:auto val="1"/>
        <c:lblAlgn val="ctr"/>
        <c:lblOffset val="100"/>
        <c:noMultiLvlLbl val="0"/>
      </c:catAx>
      <c:valAx>
        <c:axId val="96985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693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Snow Surface Energy balance components. Daily average (Wm</a:t>
            </a:r>
            <a:r>
              <a:rPr lang="en-US" sz="1800" b="1" i="0" baseline="30000"/>
              <a:t>-2</a:t>
            </a:r>
            <a:r>
              <a:rPr lang="en-US" sz="1800" b="1" i="0" baseline="0"/>
              <a:t>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B1C9-C348-9392-2522AA3808E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B1C9-C348-9392-2522AA3808E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B1C9-C348-9392-2522AA3808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B1C9-C348-9392-2522AA3808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1C9-C348-9392-2522AA3808EE}"/>
              </c:ext>
            </c:extLst>
          </c:dPt>
          <c:cat>
            <c:strRef>
              <c:f>'Simple Snow Melt Model'!$A$17:$A$22</c:f>
              <c:strCache>
                <c:ptCount val="6"/>
                <c:pt idx="0">
                  <c:v>Net Solar</c:v>
                </c:pt>
                <c:pt idx="1">
                  <c:v>Net Longwave</c:v>
                </c:pt>
                <c:pt idx="2">
                  <c:v>Sensible Heat Flux</c:v>
                </c:pt>
                <c:pt idx="3">
                  <c:v>Latent Heat Flux</c:v>
                </c:pt>
                <c:pt idx="4">
                  <c:v>Heat from Rain</c:v>
                </c:pt>
                <c:pt idx="5">
                  <c:v>Ground Heat Flux</c:v>
                </c:pt>
              </c:strCache>
            </c:strRef>
          </c:cat>
          <c:val>
            <c:numRef>
              <c:f>'Simple Snow Melt Model'!$B$17:$B$22</c:f>
              <c:numCache>
                <c:formatCode>0.00</c:formatCode>
                <c:ptCount val="6"/>
                <c:pt idx="0">
                  <c:v>64.879999999999981</c:v>
                </c:pt>
                <c:pt idx="1">
                  <c:v>8.5193906095557281</c:v>
                </c:pt>
                <c:pt idx="2">
                  <c:v>10.282479295114209</c:v>
                </c:pt>
                <c:pt idx="3">
                  <c:v>2.1348711303301982</c:v>
                </c:pt>
                <c:pt idx="4">
                  <c:v>0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9-C348-9392-2522AA38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39872"/>
        <c:axId val="97041408"/>
      </c:barChart>
      <c:catAx>
        <c:axId val="9703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041408"/>
        <c:crosses val="autoZero"/>
        <c:auto val="1"/>
        <c:lblAlgn val="ctr"/>
        <c:lblOffset val="100"/>
        <c:noMultiLvlLbl val="0"/>
      </c:catAx>
      <c:valAx>
        <c:axId val="970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703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1681</xdr:colOff>
      <xdr:row>26</xdr:row>
      <xdr:rowOff>27454</xdr:rowOff>
    </xdr:from>
    <xdr:to>
      <xdr:col>9</xdr:col>
      <xdr:colOff>79002</xdr:colOff>
      <xdr:row>51</xdr:row>
      <xdr:rowOff>180974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115421</xdr:colOff>
      <xdr:row>26</xdr:row>
      <xdr:rowOff>51548</xdr:rowOff>
    </xdr:from>
    <xdr:to>
      <xdr:col>15</xdr:col>
      <xdr:colOff>384923</xdr:colOff>
      <xdr:row>41</xdr:row>
      <xdr:rowOff>5604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54910</xdr:colOff>
      <xdr:row>26</xdr:row>
      <xdr:rowOff>33619</xdr:rowOff>
    </xdr:from>
    <xdr:to>
      <xdr:col>4</xdr:col>
      <xdr:colOff>738469</xdr:colOff>
      <xdr:row>43</xdr:row>
      <xdr:rowOff>67236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219635</xdr:colOff>
      <xdr:row>1</xdr:row>
      <xdr:rowOff>134471</xdr:rowOff>
    </xdr:from>
    <xdr:to>
      <xdr:col>19</xdr:col>
      <xdr:colOff>65555</xdr:colOff>
      <xdr:row>24</xdr:row>
      <xdr:rowOff>7471</xdr:rowOff>
    </xdr:to>
    <xdr:pic>
      <xdr:nvPicPr>
        <xdr:cNvPr id="3" name="Picture 2" descr="C:\Users\nicway\Dropbox\field work\SNQ_12_4_2013\IMAG0358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17106" y="324971"/>
          <a:ext cx="3476625" cy="46355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78441</xdr:colOff>
      <xdr:row>1</xdr:row>
      <xdr:rowOff>123266</xdr:rowOff>
    </xdr:from>
    <xdr:to>
      <xdr:col>12</xdr:col>
      <xdr:colOff>558053</xdr:colOff>
      <xdr:row>20</xdr:row>
      <xdr:rowOff>66116</xdr:rowOff>
    </xdr:to>
    <xdr:pic>
      <xdr:nvPicPr>
        <xdr:cNvPr id="4" name="Picture 3" descr="C:\Users\nicway\Downloads\8227117853_8868f16490_o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5806" r="50538"/>
        <a:stretch>
          <a:fillRect/>
        </a:stretch>
      </xdr:blipFill>
      <xdr:spPr bwMode="auto">
        <a:xfrm>
          <a:off x="5345206" y="313766"/>
          <a:ext cx="3505200" cy="39433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106062</xdr:rowOff>
    </xdr:from>
    <xdr:to>
      <xdr:col>9</xdr:col>
      <xdr:colOff>666750</xdr:colOff>
      <xdr:row>12</xdr:row>
      <xdr:rowOff>152400</xdr:rowOff>
    </xdr:to>
    <xdr:pic>
      <xdr:nvPicPr>
        <xdr:cNvPr id="1025" name="Picture 1" descr="http://seattletimes.com/ABPub/2009/01/11/2008616723.jpg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0100" y="106062"/>
          <a:ext cx="3695700" cy="284668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tudents.washington.edu/nicway/" TargetMode="External"/><Relationship Id="rId1" Type="http://schemas.openxmlformats.org/officeDocument/2006/relationships/hyperlink" Target="mailto:nicway@u.washington.ed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8"/>
  <sheetViews>
    <sheetView tabSelected="1" zoomScale="65" zoomScaleNormal="84" workbookViewId="0">
      <selection activeCell="F16" sqref="F16"/>
    </sheetView>
  </sheetViews>
  <sheetFormatPr baseColWidth="10" defaultColWidth="8.83203125" defaultRowHeight="15" x14ac:dyDescent="0.2"/>
  <cols>
    <col min="1" max="1" width="21.5" bestFit="1" customWidth="1"/>
    <col min="2" max="2" width="10.33203125" customWidth="1"/>
    <col min="3" max="3" width="17.6640625" customWidth="1"/>
    <col min="4" max="4" width="11.5" customWidth="1"/>
    <col min="5" max="5" width="14.33203125" customWidth="1"/>
    <col min="6" max="6" width="14.6640625" customWidth="1"/>
    <col min="7" max="7" width="18.33203125" customWidth="1"/>
    <col min="8" max="8" width="15.5" customWidth="1"/>
    <col min="9" max="9" width="18.5" customWidth="1"/>
    <col min="10" max="10" width="19.6640625" customWidth="1"/>
    <col min="11" max="11" width="23.5" customWidth="1"/>
    <col min="17" max="17" width="11.83203125" bestFit="1" customWidth="1"/>
    <col min="18" max="18" width="12" bestFit="1" customWidth="1"/>
    <col min="19" max="19" width="19" bestFit="1" customWidth="1"/>
    <col min="25" max="25" width="22.1640625" bestFit="1" customWidth="1"/>
    <col min="26" max="26" width="9.5" bestFit="1" customWidth="1"/>
    <col min="27" max="27" width="18.33203125" customWidth="1"/>
    <col min="28" max="28" width="31.5" customWidth="1"/>
    <col min="29" max="29" width="12" bestFit="1" customWidth="1"/>
  </cols>
  <sheetData>
    <row r="1" spans="1:30" ht="27" thickBot="1" x14ac:dyDescent="0.35">
      <c r="A1" s="42" t="s">
        <v>113</v>
      </c>
      <c r="G1" t="s">
        <v>157</v>
      </c>
      <c r="AB1" s="32" t="s">
        <v>114</v>
      </c>
      <c r="AC1" s="5"/>
      <c r="AD1" s="19"/>
    </row>
    <row r="2" spans="1:30" ht="16" thickBot="1" x14ac:dyDescent="0.25">
      <c r="A2" t="s">
        <v>121</v>
      </c>
      <c r="G2" s="27" t="s">
        <v>103</v>
      </c>
      <c r="K2" s="63" t="s">
        <v>117</v>
      </c>
      <c r="L2" s="3"/>
      <c r="M2" s="3"/>
      <c r="AB2" s="8"/>
      <c r="AC2" s="17" t="s">
        <v>19</v>
      </c>
      <c r="AD2" s="21" t="s">
        <v>15</v>
      </c>
    </row>
    <row r="3" spans="1:30" ht="17" thickBot="1" x14ac:dyDescent="0.25">
      <c r="G3" s="27" t="s">
        <v>160</v>
      </c>
      <c r="AB3" s="8" t="s">
        <v>45</v>
      </c>
      <c r="AC3" s="49">
        <v>0</v>
      </c>
      <c r="AD3" s="23" t="s">
        <v>4</v>
      </c>
    </row>
    <row r="4" spans="1:30" ht="17" thickBot="1" x14ac:dyDescent="0.25">
      <c r="A4" s="43" t="s">
        <v>94</v>
      </c>
      <c r="B4" s="53"/>
      <c r="C4" s="54"/>
      <c r="D4" s="2" t="s">
        <v>132</v>
      </c>
      <c r="AB4" s="8" t="s">
        <v>58</v>
      </c>
      <c r="AC4" s="49">
        <v>1000</v>
      </c>
      <c r="AD4" s="9" t="s">
        <v>18</v>
      </c>
    </row>
    <row r="5" spans="1:30" ht="19" x14ac:dyDescent="0.25">
      <c r="A5" s="55"/>
      <c r="B5" s="56" t="s">
        <v>19</v>
      </c>
      <c r="C5" s="57" t="s">
        <v>15</v>
      </c>
      <c r="D5" s="2" t="s">
        <v>118</v>
      </c>
      <c r="E5" s="2" t="s">
        <v>119</v>
      </c>
      <c r="G5" s="64" t="s">
        <v>130</v>
      </c>
      <c r="H5" s="5"/>
      <c r="I5" s="5"/>
      <c r="J5" s="19"/>
      <c r="Q5" s="1" t="s">
        <v>21</v>
      </c>
      <c r="AB5" s="8" t="s">
        <v>59</v>
      </c>
      <c r="AC5" s="49">
        <v>0.4</v>
      </c>
      <c r="AD5" s="9" t="s">
        <v>110</v>
      </c>
    </row>
    <row r="6" spans="1:30" s="2" customFormat="1" ht="17" thickBot="1" x14ac:dyDescent="0.25">
      <c r="A6" s="8" t="s">
        <v>3</v>
      </c>
      <c r="B6" s="3">
        <v>10.3</v>
      </c>
      <c r="C6" s="9" t="s">
        <v>4</v>
      </c>
      <c r="D6" s="47">
        <v>-30</v>
      </c>
      <c r="E6" s="62">
        <v>30</v>
      </c>
      <c r="G6" s="8" t="s">
        <v>135</v>
      </c>
      <c r="H6" s="17"/>
      <c r="I6" s="17"/>
      <c r="J6" s="21"/>
      <c r="AB6" s="10" t="s">
        <v>136</v>
      </c>
      <c r="AC6" s="65">
        <f>AC4*AC5</f>
        <v>400</v>
      </c>
      <c r="AD6" s="12" t="s">
        <v>18</v>
      </c>
    </row>
    <row r="7" spans="1:30" x14ac:dyDescent="0.2">
      <c r="A7" s="8" t="s">
        <v>12</v>
      </c>
      <c r="B7" s="3">
        <v>0.77</v>
      </c>
      <c r="C7" s="9" t="s">
        <v>16</v>
      </c>
      <c r="D7" s="47">
        <v>0</v>
      </c>
      <c r="E7" s="62">
        <v>8</v>
      </c>
      <c r="G7" s="8" t="s">
        <v>129</v>
      </c>
      <c r="H7" s="3"/>
      <c r="I7" s="3"/>
      <c r="J7" s="9"/>
      <c r="Q7" s="18" t="s">
        <v>22</v>
      </c>
      <c r="R7" s="5"/>
      <c r="S7" s="5"/>
      <c r="T7" s="5"/>
      <c r="U7" s="5"/>
      <c r="V7" s="5" t="s">
        <v>23</v>
      </c>
      <c r="W7" s="5"/>
      <c r="X7" s="5" t="s">
        <v>24</v>
      </c>
      <c r="Y7" s="4" t="s">
        <v>0</v>
      </c>
      <c r="Z7" s="6" t="s">
        <v>36</v>
      </c>
      <c r="AA7" s="7" t="s">
        <v>37</v>
      </c>
      <c r="AB7" s="4" t="s">
        <v>25</v>
      </c>
      <c r="AC7" s="6" t="s">
        <v>36</v>
      </c>
      <c r="AD7" s="7" t="s">
        <v>37</v>
      </c>
    </row>
    <row r="8" spans="1:30" ht="16" thickBot="1" x14ac:dyDescent="0.25">
      <c r="A8" s="8" t="s">
        <v>13</v>
      </c>
      <c r="B8" s="3">
        <v>58.47</v>
      </c>
      <c r="C8" s="9" t="s">
        <v>17</v>
      </c>
      <c r="D8" s="47">
        <v>1</v>
      </c>
      <c r="E8" s="62">
        <v>100</v>
      </c>
      <c r="G8" s="10" t="s">
        <v>128</v>
      </c>
      <c r="H8" s="11"/>
      <c r="I8" s="11"/>
      <c r="J8" s="12"/>
      <c r="Q8" s="8"/>
      <c r="R8" s="3"/>
      <c r="S8" s="3"/>
      <c r="T8" s="3"/>
      <c r="U8" s="3"/>
      <c r="V8" s="3"/>
      <c r="W8" s="3"/>
      <c r="X8" s="3"/>
      <c r="Y8" s="8" t="s">
        <v>34</v>
      </c>
      <c r="Z8" s="3">
        <f>24*60*60</f>
        <v>86400</v>
      </c>
      <c r="AA8" s="9" t="s">
        <v>35</v>
      </c>
      <c r="AB8" s="8" t="s">
        <v>26</v>
      </c>
      <c r="AC8" s="3">
        <f>B10</f>
        <v>324.39999999999998</v>
      </c>
      <c r="AD8" s="9" t="s">
        <v>28</v>
      </c>
    </row>
    <row r="9" spans="1:30" ht="16" thickBot="1" x14ac:dyDescent="0.25">
      <c r="A9" s="8" t="s">
        <v>14</v>
      </c>
      <c r="B9" s="3">
        <v>0</v>
      </c>
      <c r="C9" s="9" t="s">
        <v>5</v>
      </c>
      <c r="D9" s="47">
        <v>0</v>
      </c>
      <c r="E9" s="62">
        <v>362</v>
      </c>
      <c r="Q9" s="8"/>
      <c r="R9" s="3"/>
      <c r="S9" s="3"/>
      <c r="T9" s="3"/>
      <c r="U9" s="3"/>
      <c r="V9" s="3"/>
      <c r="W9" s="3"/>
      <c r="X9" s="3"/>
      <c r="Y9" s="8" t="s">
        <v>1</v>
      </c>
      <c r="Z9" s="3">
        <v>334000</v>
      </c>
      <c r="AA9" s="9" t="s">
        <v>2</v>
      </c>
      <c r="AB9" s="10" t="s">
        <v>27</v>
      </c>
      <c r="AC9" s="11">
        <v>0.8</v>
      </c>
      <c r="AD9" s="12" t="s">
        <v>29</v>
      </c>
    </row>
    <row r="10" spans="1:30" ht="16" thickBot="1" x14ac:dyDescent="0.25">
      <c r="A10" s="25" t="s">
        <v>99</v>
      </c>
      <c r="B10" s="14">
        <v>324.39999999999998</v>
      </c>
      <c r="C10" s="16" t="s">
        <v>101</v>
      </c>
      <c r="D10" s="47">
        <v>30</v>
      </c>
      <c r="E10" s="62">
        <v>500</v>
      </c>
      <c r="Q10" s="8"/>
      <c r="R10" s="3"/>
      <c r="S10" s="3"/>
      <c r="T10" s="3"/>
      <c r="U10" s="3"/>
      <c r="V10" s="3"/>
      <c r="W10" s="3"/>
      <c r="X10" s="3"/>
      <c r="Y10" s="10" t="s">
        <v>40</v>
      </c>
      <c r="Z10" s="11">
        <v>1000</v>
      </c>
      <c r="AA10" s="12" t="s">
        <v>41</v>
      </c>
      <c r="AB10" s="3"/>
      <c r="AC10" s="3"/>
      <c r="AD10" s="9"/>
    </row>
    <row r="11" spans="1:30" ht="16" thickBot="1" x14ac:dyDescent="0.25">
      <c r="A11" s="26" t="s">
        <v>100</v>
      </c>
      <c r="B11" s="13">
        <v>321</v>
      </c>
      <c r="C11" s="24" t="s">
        <v>101</v>
      </c>
      <c r="D11" s="47">
        <v>250</v>
      </c>
      <c r="E11" s="62">
        <v>400</v>
      </c>
      <c r="Q11" s="8"/>
      <c r="R11" s="17" t="s">
        <v>36</v>
      </c>
      <c r="S11" s="17" t="s">
        <v>37</v>
      </c>
      <c r="T11" s="17" t="s">
        <v>104</v>
      </c>
      <c r="U11" s="3"/>
      <c r="V11" s="3"/>
      <c r="W11" s="3"/>
      <c r="X11" s="3"/>
      <c r="Y11" s="3"/>
      <c r="Z11" s="3"/>
      <c r="AA11" s="3"/>
      <c r="AB11" s="3"/>
      <c r="AC11" s="3"/>
      <c r="AD11" s="9"/>
    </row>
    <row r="12" spans="1:30" ht="16" thickBot="1" x14ac:dyDescent="0.25">
      <c r="A12" s="10"/>
      <c r="B12" s="11"/>
      <c r="C12" s="12"/>
      <c r="Q12" s="8" t="s">
        <v>32</v>
      </c>
      <c r="R12" s="3">
        <f>AC8*(1-AC9)</f>
        <v>64.879999999999981</v>
      </c>
      <c r="S12" s="3" t="s">
        <v>80</v>
      </c>
      <c r="T12" s="3" t="s">
        <v>30</v>
      </c>
      <c r="U12" s="3"/>
      <c r="V12" s="3"/>
      <c r="W12" s="3"/>
      <c r="X12" s="3"/>
      <c r="Y12" s="3"/>
      <c r="Z12" s="3"/>
      <c r="AA12" s="3"/>
      <c r="AB12" s="3"/>
      <c r="AC12" s="3"/>
      <c r="AD12" s="9"/>
    </row>
    <row r="13" spans="1:30" ht="16" thickBot="1" x14ac:dyDescent="0.25">
      <c r="Q13" s="8" t="s">
        <v>33</v>
      </c>
      <c r="R13" s="3">
        <f>R12*Z8</f>
        <v>5605631.9999999981</v>
      </c>
      <c r="S13" s="3" t="s">
        <v>38</v>
      </c>
      <c r="T13" s="3" t="s">
        <v>102</v>
      </c>
      <c r="U13" s="3"/>
      <c r="V13" s="3"/>
      <c r="W13" s="3"/>
      <c r="X13" s="3"/>
      <c r="Y13" s="3"/>
      <c r="Z13" s="3"/>
      <c r="AA13" s="3"/>
      <c r="AB13" s="3"/>
      <c r="AC13" s="3"/>
      <c r="AD13" s="9"/>
    </row>
    <row r="14" spans="1:30" ht="52.5" customHeight="1" x14ac:dyDescent="0.3">
      <c r="A14" s="61" t="s">
        <v>124</v>
      </c>
      <c r="B14" s="58"/>
      <c r="C14" s="58"/>
      <c r="D14" s="58"/>
      <c r="E14" s="19"/>
      <c r="F14" s="68" t="s">
        <v>127</v>
      </c>
      <c r="G14" s="66"/>
      <c r="H14" s="67"/>
      <c r="I14" s="2" t="s">
        <v>154</v>
      </c>
      <c r="Q14" s="8" t="s">
        <v>43</v>
      </c>
      <c r="R14" s="3">
        <f>R13/(Z9*Z10)</f>
        <v>1.6783329341317359E-2</v>
      </c>
      <c r="S14" s="3" t="s">
        <v>42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9"/>
    </row>
    <row r="15" spans="1:30" ht="34" x14ac:dyDescent="0.3">
      <c r="A15" s="50" t="s">
        <v>20</v>
      </c>
      <c r="B15" s="51" t="s">
        <v>44</v>
      </c>
      <c r="C15" s="51" t="s">
        <v>112</v>
      </c>
      <c r="D15" s="51" t="s">
        <v>133</v>
      </c>
      <c r="E15" s="52" t="s">
        <v>134</v>
      </c>
      <c r="F15" s="34"/>
      <c r="G15" s="35" t="s">
        <v>126</v>
      </c>
      <c r="H15" s="36" t="s">
        <v>111</v>
      </c>
      <c r="I15" s="2" t="s">
        <v>155</v>
      </c>
      <c r="J15" s="2" t="s">
        <v>156</v>
      </c>
      <c r="Q15" s="8" t="s">
        <v>43</v>
      </c>
      <c r="R15" s="3">
        <f>R14*1000</f>
        <v>16.783329341317359</v>
      </c>
      <c r="S15" s="3" t="s">
        <v>18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9"/>
    </row>
    <row r="16" spans="1:30" ht="25" thickBot="1" x14ac:dyDescent="0.35">
      <c r="A16" s="8"/>
      <c r="B16" s="3"/>
      <c r="C16" s="3"/>
      <c r="D16" s="3"/>
      <c r="E16" s="9"/>
      <c r="F16" s="34" t="s">
        <v>87</v>
      </c>
      <c r="G16" s="37">
        <f>IF(B6&lt;0,0,B9)</f>
        <v>0</v>
      </c>
      <c r="H16" s="40">
        <f>G16/1000*39.3701</f>
        <v>0</v>
      </c>
      <c r="I16">
        <v>0</v>
      </c>
      <c r="J16">
        <v>260</v>
      </c>
      <c r="Q16" s="10" t="s">
        <v>43</v>
      </c>
      <c r="R16" s="11">
        <f>R14*39.3701</f>
        <v>0.66076135450059859</v>
      </c>
      <c r="S16" s="13" t="s">
        <v>51</v>
      </c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2"/>
    </row>
    <row r="17" spans="1:30" ht="24" x14ac:dyDescent="0.3">
      <c r="A17" s="8" t="s">
        <v>6</v>
      </c>
      <c r="B17" s="28">
        <f>R12</f>
        <v>64.879999999999981</v>
      </c>
      <c r="C17" s="28"/>
      <c r="D17" s="28"/>
      <c r="E17" s="29"/>
      <c r="F17" s="34" t="s">
        <v>88</v>
      </c>
      <c r="G17" s="37">
        <f>D23</f>
        <v>22.209647980311406</v>
      </c>
      <c r="H17" s="40">
        <f t="shared" ref="H17:H18" si="0">G17/1000*39.3701</f>
        <v>0.87439606194965813</v>
      </c>
      <c r="I17">
        <v>0</v>
      </c>
      <c r="J17">
        <v>80</v>
      </c>
      <c r="K17" s="75"/>
    </row>
    <row r="18" spans="1:30" ht="25" thickBot="1" x14ac:dyDescent="0.35">
      <c r="A18" s="8" t="s">
        <v>7</v>
      </c>
      <c r="B18" s="28">
        <f>R23</f>
        <v>8.5193906095557281</v>
      </c>
      <c r="C18" s="28"/>
      <c r="D18" s="28"/>
      <c r="E18" s="29"/>
      <c r="F18" s="38" t="s">
        <v>82</v>
      </c>
      <c r="G18" s="39">
        <f>SUM(G16:G17)</f>
        <v>22.209647980311406</v>
      </c>
      <c r="H18" s="41">
        <f t="shared" si="0"/>
        <v>0.87439606194965813</v>
      </c>
    </row>
    <row r="19" spans="1:30" x14ac:dyDescent="0.2">
      <c r="A19" s="8" t="s">
        <v>8</v>
      </c>
      <c r="B19" s="28">
        <f>R32</f>
        <v>10.282479295114209</v>
      </c>
      <c r="C19" s="28"/>
      <c r="D19" s="28"/>
      <c r="E19" s="29"/>
      <c r="Q19" s="18" t="s">
        <v>46</v>
      </c>
      <c r="R19" s="5"/>
      <c r="S19" s="5"/>
      <c r="T19" s="5"/>
      <c r="U19" s="5"/>
      <c r="V19" s="5"/>
      <c r="W19" s="5"/>
      <c r="X19" s="5"/>
      <c r="Y19" s="4" t="s">
        <v>0</v>
      </c>
      <c r="Z19" s="6" t="s">
        <v>36</v>
      </c>
      <c r="AA19" s="6" t="s">
        <v>37</v>
      </c>
      <c r="AB19" s="4" t="s">
        <v>25</v>
      </c>
      <c r="AC19" s="6" t="s">
        <v>36</v>
      </c>
      <c r="AD19" s="7" t="s">
        <v>37</v>
      </c>
    </row>
    <row r="20" spans="1:30" x14ac:dyDescent="0.2">
      <c r="A20" s="8" t="s">
        <v>9</v>
      </c>
      <c r="B20" s="28">
        <f>R44</f>
        <v>2.1348711303301982</v>
      </c>
      <c r="C20" s="28"/>
      <c r="D20" s="28"/>
      <c r="E20" s="29"/>
      <c r="Q20" s="8"/>
      <c r="R20" s="3"/>
      <c r="S20" s="3"/>
      <c r="T20" s="3"/>
      <c r="U20" s="3"/>
      <c r="V20" s="3"/>
      <c r="W20" s="3"/>
      <c r="X20" s="3"/>
      <c r="Y20" s="8" t="s">
        <v>49</v>
      </c>
      <c r="Z20" s="3">
        <f>5.67*10^-8</f>
        <v>5.6699999999999998E-8</v>
      </c>
      <c r="AA20" s="3" t="s">
        <v>48</v>
      </c>
      <c r="AB20" s="8" t="s">
        <v>50</v>
      </c>
      <c r="AC20" s="3">
        <f>B11</f>
        <v>321</v>
      </c>
      <c r="AD20" s="9" t="s">
        <v>28</v>
      </c>
    </row>
    <row r="21" spans="1:30" ht="16" thickBot="1" x14ac:dyDescent="0.25">
      <c r="A21" s="8" t="s">
        <v>10</v>
      </c>
      <c r="B21" s="28">
        <f>R55</f>
        <v>0</v>
      </c>
      <c r="C21" s="28"/>
      <c r="D21" s="28"/>
      <c r="E21" s="29"/>
      <c r="F21" s="14"/>
      <c r="Q21" s="8"/>
      <c r="R21" s="3"/>
      <c r="S21" s="3"/>
      <c r="T21" s="3"/>
      <c r="U21" s="3"/>
      <c r="V21" s="3"/>
      <c r="W21" s="3"/>
      <c r="X21" s="3"/>
      <c r="Y21" s="8" t="s">
        <v>34</v>
      </c>
      <c r="Z21" s="3">
        <f>24*60*60</f>
        <v>86400</v>
      </c>
      <c r="AA21" s="3" t="s">
        <v>35</v>
      </c>
      <c r="AB21" s="10" t="s">
        <v>85</v>
      </c>
      <c r="AC21" s="11">
        <v>0.99</v>
      </c>
      <c r="AD21" s="12" t="s">
        <v>66</v>
      </c>
    </row>
    <row r="22" spans="1:30" x14ac:dyDescent="0.2">
      <c r="A22" s="8" t="s">
        <v>11</v>
      </c>
      <c r="B22" s="28">
        <f>R64</f>
        <v>0.04</v>
      </c>
      <c r="C22" s="28"/>
      <c r="D22" s="28"/>
      <c r="E22" s="29"/>
      <c r="Q22" s="8"/>
      <c r="R22" s="17" t="s">
        <v>36</v>
      </c>
      <c r="S22" s="17" t="s">
        <v>37</v>
      </c>
      <c r="T22" s="17" t="s">
        <v>104</v>
      </c>
      <c r="U22" s="3"/>
      <c r="V22" s="3"/>
      <c r="W22" s="3"/>
      <c r="X22" s="3"/>
      <c r="Y22" s="8" t="s">
        <v>1</v>
      </c>
      <c r="Z22" s="3">
        <v>334000</v>
      </c>
      <c r="AA22" s="9" t="s">
        <v>2</v>
      </c>
      <c r="AB22" s="3"/>
      <c r="AC22" s="3"/>
      <c r="AD22" s="9"/>
    </row>
    <row r="23" spans="1:30" ht="22" thickBot="1" x14ac:dyDescent="0.3">
      <c r="A23" s="69" t="s">
        <v>82</v>
      </c>
      <c r="B23" s="70">
        <f>SUM(B17:B22)</f>
        <v>85.856741035000127</v>
      </c>
      <c r="C23" s="70">
        <f>B23*Z8</f>
        <v>7418022.4254240105</v>
      </c>
      <c r="D23" s="70">
        <f>IF(B6&lt;0,0,C23/(Z9*Z10)*1000)</f>
        <v>22.209647980311406</v>
      </c>
      <c r="E23" s="71">
        <f>D23/1000*39.3701</f>
        <v>0.87439606194965813</v>
      </c>
      <c r="Q23" s="8" t="s">
        <v>32</v>
      </c>
      <c r="R23" s="3">
        <f>AC20-(AC21*Z20*(AC3+273.15)^4)</f>
        <v>8.5193906095557281</v>
      </c>
      <c r="S23" s="3" t="s">
        <v>80</v>
      </c>
      <c r="T23" s="3" t="s">
        <v>47</v>
      </c>
      <c r="U23" s="3"/>
      <c r="V23" s="3"/>
      <c r="W23" s="3"/>
      <c r="X23" s="3"/>
      <c r="Y23" s="10" t="s">
        <v>40</v>
      </c>
      <c r="Z23" s="11">
        <v>1000</v>
      </c>
      <c r="AA23" s="12" t="s">
        <v>41</v>
      </c>
      <c r="AB23" s="3"/>
      <c r="AC23" s="3"/>
      <c r="AD23" s="9"/>
    </row>
    <row r="24" spans="1:30" x14ac:dyDescent="0.2">
      <c r="Q24" s="8" t="s">
        <v>33</v>
      </c>
      <c r="R24" s="3">
        <f>R23*Z21</f>
        <v>736075.34866561496</v>
      </c>
      <c r="S24" s="3" t="s">
        <v>38</v>
      </c>
      <c r="T24" s="3" t="s">
        <v>39</v>
      </c>
      <c r="U24" s="3"/>
      <c r="V24" s="3"/>
      <c r="W24" s="3"/>
      <c r="X24" s="3"/>
      <c r="Y24" s="3"/>
      <c r="Z24" s="3"/>
      <c r="AA24" s="3"/>
      <c r="AB24" s="3"/>
      <c r="AC24" s="3"/>
      <c r="AD24" s="9"/>
    </row>
    <row r="25" spans="1:30" ht="24" x14ac:dyDescent="0.3">
      <c r="A25" s="59" t="s">
        <v>122</v>
      </c>
      <c r="F25" s="59" t="s">
        <v>123</v>
      </c>
      <c r="J25" s="60" t="s">
        <v>125</v>
      </c>
      <c r="Q25" s="8" t="s">
        <v>43</v>
      </c>
      <c r="R25" s="3">
        <f>(R24/Z22)/Z23</f>
        <v>2.2038184091784882E-3</v>
      </c>
      <c r="S25" s="3" t="s">
        <v>42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9"/>
    </row>
    <row r="26" spans="1:30" x14ac:dyDescent="0.2">
      <c r="Q26" s="8" t="s">
        <v>43</v>
      </c>
      <c r="R26" s="3">
        <f>R25*1000</f>
        <v>2.203818409178488</v>
      </c>
      <c r="S26" s="3" t="s">
        <v>18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9"/>
    </row>
    <row r="27" spans="1:30" ht="16" thickBot="1" x14ac:dyDescent="0.25">
      <c r="Q27" s="10" t="s">
        <v>43</v>
      </c>
      <c r="R27" s="11">
        <f>R25*39.3701</f>
        <v>8.6764551151197994E-2</v>
      </c>
      <c r="S27" s="13" t="s">
        <v>51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2"/>
    </row>
    <row r="29" spans="1:30" ht="16" thickBot="1" x14ac:dyDescent="0.25">
      <c r="Q29" t="s">
        <v>161</v>
      </c>
    </row>
    <row r="30" spans="1:30" x14ac:dyDescent="0.2">
      <c r="Q30" s="18" t="s">
        <v>8</v>
      </c>
      <c r="R30" s="5"/>
      <c r="S30" s="5"/>
      <c r="T30" s="5"/>
      <c r="U30" s="5"/>
      <c r="V30" s="5"/>
      <c r="W30" s="5"/>
      <c r="X30" s="5"/>
      <c r="Y30" s="4" t="s">
        <v>0</v>
      </c>
      <c r="Z30" s="6" t="s">
        <v>36</v>
      </c>
      <c r="AA30" s="7" t="s">
        <v>37</v>
      </c>
      <c r="AB30" s="6" t="s">
        <v>25</v>
      </c>
      <c r="AC30" s="6" t="s">
        <v>36</v>
      </c>
      <c r="AD30" s="7" t="s">
        <v>37</v>
      </c>
    </row>
    <row r="31" spans="1:30" x14ac:dyDescent="0.2">
      <c r="Q31" s="8"/>
      <c r="R31" s="17" t="s">
        <v>36</v>
      </c>
      <c r="S31" s="17" t="s">
        <v>37</v>
      </c>
      <c r="T31" s="17" t="s">
        <v>104</v>
      </c>
      <c r="U31" s="3"/>
      <c r="V31" s="3"/>
      <c r="W31" s="3"/>
      <c r="X31" s="3"/>
      <c r="Y31" s="8" t="s">
        <v>52</v>
      </c>
      <c r="Z31" s="3">
        <v>1.25</v>
      </c>
      <c r="AA31" s="9" t="s">
        <v>41</v>
      </c>
      <c r="AB31" s="3" t="s">
        <v>86</v>
      </c>
      <c r="AC31" s="3">
        <v>3</v>
      </c>
      <c r="AD31" s="9" t="s">
        <v>42</v>
      </c>
    </row>
    <row r="32" spans="1:30" x14ac:dyDescent="0.2">
      <c r="Q32" s="8" t="s">
        <v>32</v>
      </c>
      <c r="R32" s="3">
        <f>(Z31*Z32*(B6-AC3))/AC39</f>
        <v>10.282479295114209</v>
      </c>
      <c r="S32" s="3" t="s">
        <v>80</v>
      </c>
      <c r="T32" s="3" t="s">
        <v>95</v>
      </c>
      <c r="U32" s="3"/>
      <c r="V32" s="3"/>
      <c r="W32" s="3"/>
      <c r="X32" s="3"/>
      <c r="Y32" s="8" t="s">
        <v>53</v>
      </c>
      <c r="Z32" s="3">
        <v>1004</v>
      </c>
      <c r="AA32" s="9" t="s">
        <v>54</v>
      </c>
      <c r="AB32" s="3" t="s">
        <v>60</v>
      </c>
      <c r="AC32" s="3">
        <v>1E-3</v>
      </c>
      <c r="AD32" s="9" t="s">
        <v>42</v>
      </c>
    </row>
    <row r="33" spans="17:30" x14ac:dyDescent="0.2">
      <c r="Q33" s="8" t="s">
        <v>33</v>
      </c>
      <c r="R33" s="3">
        <f>R32*Z36</f>
        <v>888406.21109786769</v>
      </c>
      <c r="S33" s="3" t="s">
        <v>38</v>
      </c>
      <c r="T33" s="3"/>
      <c r="U33" s="3"/>
      <c r="V33" s="3"/>
      <c r="W33" s="3"/>
      <c r="X33" s="3"/>
      <c r="Y33" s="8" t="s">
        <v>56</v>
      </c>
      <c r="Z33" s="3">
        <v>9.8000000000000007</v>
      </c>
      <c r="AA33" s="9" t="s">
        <v>57</v>
      </c>
      <c r="AB33" s="3" t="s">
        <v>61</v>
      </c>
      <c r="AC33" s="3">
        <f>AC4/1000</f>
        <v>1</v>
      </c>
      <c r="AD33" s="9" t="s">
        <v>42</v>
      </c>
    </row>
    <row r="34" spans="17:30" x14ac:dyDescent="0.2">
      <c r="Q34" s="8" t="s">
        <v>43</v>
      </c>
      <c r="R34" s="3">
        <f>(R33/Z37)/Z38</f>
        <v>2.6598988356223586E-3</v>
      </c>
      <c r="S34" s="3" t="s">
        <v>42</v>
      </c>
      <c r="T34" s="3"/>
      <c r="U34" s="3"/>
      <c r="V34" s="3"/>
      <c r="W34" s="3"/>
      <c r="X34" s="3"/>
      <c r="Y34" s="8" t="s">
        <v>65</v>
      </c>
      <c r="Z34" s="3">
        <v>0.2</v>
      </c>
      <c r="AA34" s="9" t="s">
        <v>66</v>
      </c>
      <c r="AB34" s="3" t="s">
        <v>62</v>
      </c>
      <c r="AC34" s="3">
        <f>Z33*(B6-AC3)*(AC31-AC33)/(((B6+273.15)+(AC3+273.15))/2 * B7^2)</f>
        <v>1.2234849722191705</v>
      </c>
      <c r="AD34" s="9"/>
    </row>
    <row r="35" spans="17:30" x14ac:dyDescent="0.2">
      <c r="Q35" s="8" t="s">
        <v>43</v>
      </c>
      <c r="R35" s="3">
        <f>R34*1000</f>
        <v>2.6598988356223585</v>
      </c>
      <c r="S35" s="3" t="s">
        <v>18</v>
      </c>
      <c r="T35" s="3"/>
      <c r="U35" s="3"/>
      <c r="V35" s="3"/>
      <c r="W35" s="3"/>
      <c r="X35" s="3"/>
      <c r="Y35" s="8" t="s">
        <v>69</v>
      </c>
      <c r="Z35" s="3">
        <v>0.41</v>
      </c>
      <c r="AA35" s="9" t="s">
        <v>66</v>
      </c>
      <c r="AB35" s="3" t="s">
        <v>63</v>
      </c>
      <c r="AC35" s="3">
        <f>(B6+273.15)/(((B6+273.15)+(AC3+273.15))/2*(LN((AC31-AC33)/AC32)+5))</f>
        <v>8.0827957638347409E-2</v>
      </c>
      <c r="AD35" s="9"/>
    </row>
    <row r="36" spans="17:30" x14ac:dyDescent="0.2">
      <c r="Q36" s="8" t="s">
        <v>43</v>
      </c>
      <c r="R36" s="3">
        <f>R34*39.3701</f>
        <v>0.10472048314833582</v>
      </c>
      <c r="S36" s="14" t="s">
        <v>51</v>
      </c>
      <c r="T36" s="3"/>
      <c r="U36" s="3"/>
      <c r="V36" s="3"/>
      <c r="W36" s="3"/>
      <c r="X36" s="3"/>
      <c r="Y36" s="8" t="s">
        <v>34</v>
      </c>
      <c r="Z36" s="3">
        <f>24*60*60</f>
        <v>86400</v>
      </c>
      <c r="AA36" s="9" t="s">
        <v>35</v>
      </c>
      <c r="AB36" s="3" t="s">
        <v>67</v>
      </c>
      <c r="AC36" s="3">
        <f>IF(AC34&gt;AC35,AC35,AC34)</f>
        <v>8.0827957638347409E-2</v>
      </c>
      <c r="AD36" s="9"/>
    </row>
    <row r="37" spans="17:30" x14ac:dyDescent="0.2">
      <c r="Q37" s="8"/>
      <c r="R37" s="3"/>
      <c r="S37" s="3"/>
      <c r="T37" s="3"/>
      <c r="U37" s="3"/>
      <c r="V37" s="3"/>
      <c r="W37" s="3"/>
      <c r="X37" s="3"/>
      <c r="Y37" s="8" t="s">
        <v>1</v>
      </c>
      <c r="Z37" s="3">
        <v>334000</v>
      </c>
      <c r="AA37" s="9" t="s">
        <v>2</v>
      </c>
      <c r="AB37" s="3" t="s">
        <v>68</v>
      </c>
      <c r="AC37" s="3">
        <f>((LN((AC31-AC33)/AC32))^2)/(Z35^2*B7)</f>
        <v>446.34623947922842</v>
      </c>
      <c r="AD37" s="9" t="s">
        <v>55</v>
      </c>
    </row>
    <row r="38" spans="17:30" x14ac:dyDescent="0.2">
      <c r="Q38" s="8"/>
      <c r="R38" s="3"/>
      <c r="S38" s="3"/>
      <c r="T38" s="3"/>
      <c r="U38" s="3"/>
      <c r="V38" s="3"/>
      <c r="W38" s="3"/>
      <c r="X38" s="3"/>
      <c r="Y38" s="8" t="s">
        <v>40</v>
      </c>
      <c r="Z38" s="3">
        <v>1000</v>
      </c>
      <c r="AA38" s="9" t="s">
        <v>41</v>
      </c>
      <c r="AB38" s="3" t="s">
        <v>64</v>
      </c>
      <c r="AC38" s="3">
        <f>IF(AC36&gt;0,(1-AC36/Z34)^2,SQRT(1-16*AC36))</f>
        <v>0.35504939201618801</v>
      </c>
      <c r="AD38" s="9" t="s">
        <v>66</v>
      </c>
    </row>
    <row r="39" spans="17:30" ht="16" thickBot="1" x14ac:dyDescent="0.25">
      <c r="Q39" s="10"/>
      <c r="R39" s="11"/>
      <c r="S39" s="11"/>
      <c r="T39" s="11"/>
      <c r="U39" s="11"/>
      <c r="V39" s="11"/>
      <c r="W39" s="11"/>
      <c r="X39" s="11"/>
      <c r="Y39" s="10"/>
      <c r="Z39" s="11"/>
      <c r="AA39" s="12"/>
      <c r="AB39" s="11" t="s">
        <v>70</v>
      </c>
      <c r="AC39" s="11">
        <f>AC37/AC38</f>
        <v>1257.1384419069159</v>
      </c>
      <c r="AD39" s="12" t="s">
        <v>55</v>
      </c>
    </row>
    <row r="41" spans="17:30" ht="16" thickBot="1" x14ac:dyDescent="0.25"/>
    <row r="42" spans="17:30" x14ac:dyDescent="0.2">
      <c r="Q42" s="18" t="s">
        <v>9</v>
      </c>
      <c r="R42" s="5"/>
      <c r="S42" s="5"/>
      <c r="T42" s="5"/>
      <c r="U42" s="5"/>
      <c r="V42" s="5"/>
      <c r="W42" s="5"/>
      <c r="X42" s="5"/>
      <c r="Y42" s="4" t="s">
        <v>0</v>
      </c>
      <c r="Z42" s="6" t="s">
        <v>36</v>
      </c>
      <c r="AA42" s="7" t="s">
        <v>37</v>
      </c>
      <c r="AB42" s="6" t="s">
        <v>25</v>
      </c>
      <c r="AC42" s="6" t="s">
        <v>36</v>
      </c>
      <c r="AD42" s="7" t="s">
        <v>37</v>
      </c>
    </row>
    <row r="43" spans="17:30" x14ac:dyDescent="0.2">
      <c r="Q43" s="8"/>
      <c r="R43" s="17" t="s">
        <v>36</v>
      </c>
      <c r="S43" s="17" t="s">
        <v>37</v>
      </c>
      <c r="T43" s="17" t="s">
        <v>104</v>
      </c>
      <c r="U43" s="3"/>
      <c r="V43" s="3"/>
      <c r="W43" s="3"/>
      <c r="X43" s="3"/>
      <c r="Y43" s="8" t="s">
        <v>34</v>
      </c>
      <c r="Z43" s="3">
        <f>24*60*60</f>
        <v>86400</v>
      </c>
      <c r="AA43" s="9" t="s">
        <v>35</v>
      </c>
      <c r="AB43" s="3" t="s">
        <v>74</v>
      </c>
      <c r="AC43" s="3">
        <f>AC44*B8/100</f>
        <v>735.21761635203541</v>
      </c>
      <c r="AD43" s="9" t="s">
        <v>73</v>
      </c>
    </row>
    <row r="44" spans="17:30" x14ac:dyDescent="0.2">
      <c r="Q44" s="8" t="s">
        <v>32</v>
      </c>
      <c r="R44" s="3">
        <f>(AC45*Z45*(0.622/AC47)*(AC43-AC46))/AC39</f>
        <v>2.1348711303301982</v>
      </c>
      <c r="S44" s="3" t="s">
        <v>31</v>
      </c>
      <c r="T44" s="3" t="s">
        <v>96</v>
      </c>
      <c r="U44" s="3"/>
      <c r="V44" s="3"/>
      <c r="W44" s="3"/>
      <c r="X44" s="3"/>
      <c r="Y44" s="8" t="s">
        <v>71</v>
      </c>
      <c r="Z44" s="3">
        <v>2501000</v>
      </c>
      <c r="AA44" s="9" t="s">
        <v>2</v>
      </c>
      <c r="AB44" s="3" t="s">
        <v>75</v>
      </c>
      <c r="AC44" s="3">
        <f>Z47*EXP((AC45/Z49)*(1/273.15-1/(B6+273.15)))*100</f>
        <v>1257.4270845767667</v>
      </c>
      <c r="AD44" s="9" t="s">
        <v>73</v>
      </c>
    </row>
    <row r="45" spans="17:30" x14ac:dyDescent="0.2">
      <c r="Q45" s="8" t="s">
        <v>33</v>
      </c>
      <c r="R45" s="3">
        <f>R44*Z43</f>
        <v>184452.86566052912</v>
      </c>
      <c r="S45" s="3" t="s">
        <v>38</v>
      </c>
      <c r="T45" s="3"/>
      <c r="U45" s="3"/>
      <c r="V45" s="3"/>
      <c r="W45" s="3"/>
      <c r="X45" s="3"/>
      <c r="Y45" s="8" t="s">
        <v>52</v>
      </c>
      <c r="Z45" s="3">
        <v>1.25</v>
      </c>
      <c r="AA45" s="9" t="s">
        <v>41</v>
      </c>
      <c r="AB45" s="3" t="s">
        <v>78</v>
      </c>
      <c r="AC45" s="3">
        <f>IF(B6&gt;0,Z44,Z48)</f>
        <v>2501000</v>
      </c>
      <c r="AD45" s="9" t="s">
        <v>2</v>
      </c>
    </row>
    <row r="46" spans="17:30" x14ac:dyDescent="0.2">
      <c r="Q46" s="8" t="s">
        <v>43</v>
      </c>
      <c r="R46" s="3">
        <f>(R45/Z50)/Z46</f>
        <v>5.5225408880397943E-4</v>
      </c>
      <c r="S46" s="3" t="s">
        <v>42</v>
      </c>
      <c r="T46" s="3"/>
      <c r="U46" s="3"/>
      <c r="V46" s="3"/>
      <c r="W46" s="3"/>
      <c r="X46" s="3"/>
      <c r="Y46" s="8" t="s">
        <v>40</v>
      </c>
      <c r="Z46" s="3">
        <v>1000</v>
      </c>
      <c r="AA46" s="9" t="s">
        <v>41</v>
      </c>
      <c r="AB46" s="3" t="s">
        <v>153</v>
      </c>
      <c r="AC46" s="3">
        <f>Z47*EXP((AC45/Z49)*(1/273.15-1/(AC3+273.15)))*100</f>
        <v>611</v>
      </c>
      <c r="AD46" s="9" t="s">
        <v>73</v>
      </c>
    </row>
    <row r="47" spans="17:30" ht="17" thickBot="1" x14ac:dyDescent="0.25">
      <c r="Q47" s="8" t="s">
        <v>43</v>
      </c>
      <c r="R47" s="3">
        <f>R46*1000</f>
        <v>0.55225408880397941</v>
      </c>
      <c r="S47" s="3" t="s">
        <v>18</v>
      </c>
      <c r="T47" s="3"/>
      <c r="U47" s="3"/>
      <c r="V47" s="3"/>
      <c r="W47" s="3"/>
      <c r="X47" s="3"/>
      <c r="Y47" s="15" t="s">
        <v>76</v>
      </c>
      <c r="Z47" s="14">
        <v>6.11</v>
      </c>
      <c r="AA47" s="9"/>
      <c r="AB47" s="8" t="s">
        <v>72</v>
      </c>
      <c r="AC47" s="33">
        <v>90000</v>
      </c>
      <c r="AD47" s="9" t="s">
        <v>73</v>
      </c>
    </row>
    <row r="48" spans="17:30" ht="17" thickBot="1" x14ac:dyDescent="0.25">
      <c r="Q48" s="8" t="s">
        <v>43</v>
      </c>
      <c r="R48" s="3">
        <f>R46*39.3701</f>
        <v>2.1742298701621553E-2</v>
      </c>
      <c r="S48" s="3" t="s">
        <v>51</v>
      </c>
      <c r="T48" s="3"/>
      <c r="U48" s="3"/>
      <c r="V48" s="3"/>
      <c r="W48" s="3"/>
      <c r="X48" s="3"/>
      <c r="Y48" s="15" t="s">
        <v>77</v>
      </c>
      <c r="Z48" s="3">
        <v>2834700</v>
      </c>
      <c r="AA48" s="9" t="s">
        <v>2</v>
      </c>
      <c r="AB48" s="3"/>
      <c r="AC48" s="33"/>
      <c r="AD48" s="9"/>
    </row>
    <row r="49" spans="1:31" x14ac:dyDescent="0.2">
      <c r="Q49" s="8"/>
      <c r="R49" s="3"/>
      <c r="S49" s="3"/>
      <c r="T49" s="3"/>
      <c r="U49" s="3"/>
      <c r="V49" s="3"/>
      <c r="W49" s="3"/>
      <c r="X49" s="3"/>
      <c r="Y49" s="15" t="s">
        <v>79</v>
      </c>
      <c r="Z49" s="3">
        <v>461</v>
      </c>
      <c r="AA49" s="9" t="s">
        <v>54</v>
      </c>
      <c r="AB49" s="3"/>
      <c r="AC49" s="3"/>
      <c r="AD49" s="9"/>
    </row>
    <row r="50" spans="1:31" ht="16" thickBot="1" x14ac:dyDescent="0.25">
      <c r="A50" s="1" t="s">
        <v>131</v>
      </c>
      <c r="Q50" s="10"/>
      <c r="R50" s="11"/>
      <c r="S50" s="11"/>
      <c r="T50" s="11"/>
      <c r="U50" s="11"/>
      <c r="V50" s="11"/>
      <c r="W50" s="11"/>
      <c r="X50" s="11"/>
      <c r="Y50" s="10" t="s">
        <v>1</v>
      </c>
      <c r="Z50" s="11">
        <v>334000</v>
      </c>
      <c r="AA50" s="12" t="s">
        <v>2</v>
      </c>
      <c r="AB50" s="11"/>
      <c r="AC50" s="11"/>
      <c r="AD50" s="12"/>
    </row>
    <row r="51" spans="1:31" ht="32" x14ac:dyDescent="0.2">
      <c r="A51" s="48" t="s">
        <v>115</v>
      </c>
      <c r="B51">
        <f>AC21*Z20*(B6+273.15)^4</f>
        <v>362.34652343501989</v>
      </c>
    </row>
    <row r="52" spans="1:31" ht="16" thickBot="1" x14ac:dyDescent="0.25">
      <c r="A52" t="s">
        <v>158</v>
      </c>
      <c r="B52" t="s">
        <v>159</v>
      </c>
    </row>
    <row r="53" spans="1:31" x14ac:dyDescent="0.2">
      <c r="Q53" s="18" t="s">
        <v>81</v>
      </c>
      <c r="R53" s="5"/>
      <c r="S53" s="5"/>
      <c r="T53" s="5"/>
      <c r="U53" s="5"/>
      <c r="V53" s="5"/>
      <c r="W53" s="5"/>
      <c r="X53" s="5"/>
      <c r="Y53" s="4" t="s">
        <v>0</v>
      </c>
      <c r="Z53" s="6" t="s">
        <v>36</v>
      </c>
      <c r="AA53" s="7" t="s">
        <v>37</v>
      </c>
      <c r="AB53" s="4" t="s">
        <v>25</v>
      </c>
      <c r="AC53" s="6" t="s">
        <v>36</v>
      </c>
      <c r="AD53" s="7" t="s">
        <v>37</v>
      </c>
      <c r="AE53" s="3"/>
    </row>
    <row r="54" spans="1:31" ht="16" thickBot="1" x14ac:dyDescent="0.25">
      <c r="Q54" s="8"/>
      <c r="R54" s="17" t="s">
        <v>36</v>
      </c>
      <c r="S54" s="17" t="s">
        <v>37</v>
      </c>
      <c r="T54" s="17" t="s">
        <v>104</v>
      </c>
      <c r="U54" s="3"/>
      <c r="V54" s="3"/>
      <c r="W54" s="3"/>
      <c r="X54" s="3"/>
      <c r="Y54" s="8" t="s">
        <v>34</v>
      </c>
      <c r="Z54" s="3">
        <f>24*60*60</f>
        <v>86400</v>
      </c>
      <c r="AA54" s="9" t="s">
        <v>35</v>
      </c>
      <c r="AB54" s="10" t="s">
        <v>84</v>
      </c>
      <c r="AC54" s="11">
        <f>(B9/1000)/Z54</f>
        <v>0</v>
      </c>
      <c r="AD54" s="12" t="s">
        <v>16</v>
      </c>
      <c r="AE54" s="3"/>
    </row>
    <row r="55" spans="1:31" x14ac:dyDescent="0.2">
      <c r="Q55" s="8" t="s">
        <v>32</v>
      </c>
      <c r="R55" s="3">
        <f>Z56*Z55*B6*AC54</f>
        <v>0</v>
      </c>
      <c r="S55" s="3" t="s">
        <v>31</v>
      </c>
      <c r="T55" s="3" t="s">
        <v>97</v>
      </c>
      <c r="U55" s="3"/>
      <c r="V55" s="3"/>
      <c r="W55" s="3"/>
      <c r="X55" s="3"/>
      <c r="Y55" s="8" t="s">
        <v>40</v>
      </c>
      <c r="Z55" s="3">
        <v>1000</v>
      </c>
      <c r="AA55" s="9" t="s">
        <v>41</v>
      </c>
      <c r="AB55" s="3"/>
      <c r="AC55" s="3"/>
      <c r="AD55" s="9"/>
    </row>
    <row r="56" spans="1:31" x14ac:dyDescent="0.2">
      <c r="Q56" s="8" t="s">
        <v>33</v>
      </c>
      <c r="R56" s="3">
        <f>R55*Z54</f>
        <v>0</v>
      </c>
      <c r="S56" s="3" t="s">
        <v>38</v>
      </c>
      <c r="T56" s="3"/>
      <c r="U56" s="3"/>
      <c r="V56" s="3"/>
      <c r="W56" s="3"/>
      <c r="X56" s="3"/>
      <c r="Y56" s="15" t="s">
        <v>83</v>
      </c>
      <c r="Z56" s="3">
        <v>4218</v>
      </c>
      <c r="AA56" s="16" t="s">
        <v>54</v>
      </c>
      <c r="AB56" s="3"/>
      <c r="AC56" s="3"/>
      <c r="AD56" s="9"/>
    </row>
    <row r="57" spans="1:31" ht="16" thickBot="1" x14ac:dyDescent="0.25">
      <c r="Q57" s="8" t="s">
        <v>43</v>
      </c>
      <c r="R57" s="3">
        <f>(R56/Z57)/Z55</f>
        <v>0</v>
      </c>
      <c r="S57" s="3" t="s">
        <v>42</v>
      </c>
      <c r="T57" s="3"/>
      <c r="U57" s="3"/>
      <c r="V57" s="3"/>
      <c r="W57" s="3"/>
      <c r="X57" s="3"/>
      <c r="Y57" s="10" t="s">
        <v>1</v>
      </c>
      <c r="Z57" s="11">
        <v>334000</v>
      </c>
      <c r="AA57" s="12" t="s">
        <v>2</v>
      </c>
      <c r="AB57" s="3"/>
      <c r="AC57" s="3"/>
      <c r="AD57" s="9"/>
    </row>
    <row r="58" spans="1:31" x14ac:dyDescent="0.2">
      <c r="Q58" s="8" t="s">
        <v>43</v>
      </c>
      <c r="R58" s="3">
        <f>R57*1000</f>
        <v>0</v>
      </c>
      <c r="S58" s="3" t="s">
        <v>18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9"/>
    </row>
    <row r="59" spans="1:31" ht="16" thickBot="1" x14ac:dyDescent="0.25">
      <c r="Q59" s="10" t="s">
        <v>43</v>
      </c>
      <c r="R59" s="11">
        <f>R57*39.3701</f>
        <v>0</v>
      </c>
      <c r="S59" s="11" t="s">
        <v>51</v>
      </c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2"/>
    </row>
    <row r="61" spans="1:31" ht="16" thickBot="1" x14ac:dyDescent="0.25"/>
    <row r="62" spans="1:31" x14ac:dyDescent="0.2">
      <c r="Q62" s="18" t="s">
        <v>11</v>
      </c>
      <c r="R62" s="5"/>
      <c r="S62" s="5"/>
      <c r="T62" s="5"/>
      <c r="U62" s="5"/>
      <c r="V62" s="5"/>
      <c r="W62" s="5"/>
      <c r="X62" s="5"/>
      <c r="Y62" s="4" t="s">
        <v>0</v>
      </c>
      <c r="Z62" s="6" t="s">
        <v>36</v>
      </c>
      <c r="AA62" s="7" t="s">
        <v>37</v>
      </c>
      <c r="AB62" s="4" t="s">
        <v>25</v>
      </c>
      <c r="AC62" s="6" t="s">
        <v>36</v>
      </c>
      <c r="AD62" s="7" t="s">
        <v>37</v>
      </c>
    </row>
    <row r="63" spans="1:31" x14ac:dyDescent="0.2">
      <c r="Q63" s="8"/>
      <c r="R63" s="17" t="s">
        <v>36</v>
      </c>
      <c r="S63" s="17" t="s">
        <v>37</v>
      </c>
      <c r="T63" s="17" t="s">
        <v>104</v>
      </c>
      <c r="U63" s="3"/>
      <c r="V63" s="3"/>
      <c r="W63" s="3"/>
      <c r="X63" s="3"/>
      <c r="Y63" s="8" t="s">
        <v>89</v>
      </c>
      <c r="Z63" s="3">
        <v>2</v>
      </c>
      <c r="AA63" s="9" t="s">
        <v>90</v>
      </c>
      <c r="AB63" s="8" t="s">
        <v>91</v>
      </c>
      <c r="AC63" s="3">
        <v>1</v>
      </c>
      <c r="AD63" s="9" t="s">
        <v>4</v>
      </c>
    </row>
    <row r="64" spans="1:31" x14ac:dyDescent="0.2">
      <c r="Q64" s="8" t="s">
        <v>32</v>
      </c>
      <c r="R64" s="3">
        <f>Z63*(AC65-AC63)/(0-AC64)</f>
        <v>0.04</v>
      </c>
      <c r="S64" s="3" t="s">
        <v>31</v>
      </c>
      <c r="T64" s="3" t="s">
        <v>98</v>
      </c>
      <c r="U64" s="3"/>
      <c r="V64" s="3"/>
      <c r="W64" s="3"/>
      <c r="X64" s="3"/>
      <c r="Y64" s="8" t="s">
        <v>34</v>
      </c>
      <c r="Z64" s="3">
        <f>24*60*60</f>
        <v>86400</v>
      </c>
      <c r="AA64" s="9" t="s">
        <v>35</v>
      </c>
      <c r="AB64" s="8" t="s">
        <v>92</v>
      </c>
      <c r="AC64" s="3">
        <v>100</v>
      </c>
      <c r="AD64" s="9" t="s">
        <v>18</v>
      </c>
    </row>
    <row r="65" spans="1:30" ht="16" thickBot="1" x14ac:dyDescent="0.25">
      <c r="A65" t="s">
        <v>120</v>
      </c>
      <c r="Q65" s="8" t="s">
        <v>33</v>
      </c>
      <c r="R65" s="3">
        <f>R64*Z64</f>
        <v>3456</v>
      </c>
      <c r="S65" s="3" t="s">
        <v>38</v>
      </c>
      <c r="T65" s="3"/>
      <c r="U65" s="3"/>
      <c r="V65" s="3"/>
      <c r="W65" s="3"/>
      <c r="X65" s="3"/>
      <c r="Y65" s="8" t="s">
        <v>40</v>
      </c>
      <c r="Z65" s="3">
        <v>1000</v>
      </c>
      <c r="AA65" s="9" t="s">
        <v>41</v>
      </c>
      <c r="AB65" s="10" t="s">
        <v>93</v>
      </c>
      <c r="AC65" s="11">
        <v>-1</v>
      </c>
      <c r="AD65" s="12" t="s">
        <v>4</v>
      </c>
    </row>
    <row r="66" spans="1:30" ht="16" thickBot="1" x14ac:dyDescent="0.25">
      <c r="Q66" s="8" t="s">
        <v>43</v>
      </c>
      <c r="R66" s="3">
        <f>R65/Z66/Z65</f>
        <v>1.0347305389221557E-5</v>
      </c>
      <c r="S66" s="3" t="s">
        <v>42</v>
      </c>
      <c r="T66" s="3"/>
      <c r="U66" s="3"/>
      <c r="V66" s="3"/>
      <c r="W66" s="3"/>
      <c r="X66" s="3"/>
      <c r="Y66" s="10" t="s">
        <v>1</v>
      </c>
      <c r="Z66" s="11">
        <v>334000</v>
      </c>
      <c r="AA66" s="12" t="s">
        <v>2</v>
      </c>
      <c r="AB66" s="3"/>
      <c r="AC66" s="3"/>
      <c r="AD66" s="9"/>
    </row>
    <row r="67" spans="1:30" x14ac:dyDescent="0.2">
      <c r="Q67" s="8" t="s">
        <v>43</v>
      </c>
      <c r="R67" s="3">
        <f>R66*1000</f>
        <v>1.0347305389221557E-2</v>
      </c>
      <c r="S67" s="3" t="s">
        <v>18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9"/>
    </row>
    <row r="68" spans="1:30" ht="16" thickBot="1" x14ac:dyDescent="0.25">
      <c r="Q68" s="10" t="s">
        <v>43</v>
      </c>
      <c r="R68" s="11">
        <f>R66*39.3701</f>
        <v>4.0737444790419161E-4</v>
      </c>
      <c r="S68" s="11" t="s">
        <v>51</v>
      </c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2"/>
    </row>
  </sheetData>
  <hyperlinks>
    <hyperlink ref="G2" r:id="rId1" xr:uid="{00000000-0004-0000-0000-000000000000}"/>
    <hyperlink ref="G3" r:id="rId2" display="http://students.washington.edu/nicway/" xr:uid="{00000000-0004-0000-0000-000001000000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9"/>
  <sheetViews>
    <sheetView zoomScale="85" zoomScaleNormal="85" workbookViewId="0">
      <selection activeCell="A10" sqref="A10:C15"/>
    </sheetView>
  </sheetViews>
  <sheetFormatPr baseColWidth="10" defaultColWidth="8.83203125" defaultRowHeight="15" x14ac:dyDescent="0.2"/>
  <cols>
    <col min="1" max="1" width="20.5" customWidth="1"/>
    <col min="3" max="3" width="13.1640625" bestFit="1" customWidth="1"/>
  </cols>
  <sheetData>
    <row r="1" spans="1:8" x14ac:dyDescent="0.2">
      <c r="A1" t="s">
        <v>105</v>
      </c>
      <c r="H1" t="s">
        <v>152</v>
      </c>
    </row>
    <row r="3" spans="1:8" ht="26" x14ac:dyDescent="0.3">
      <c r="A3" s="31" t="s">
        <v>106</v>
      </c>
      <c r="B3" s="31" t="s">
        <v>116</v>
      </c>
      <c r="C3" s="2"/>
    </row>
    <row r="6" spans="1:8" ht="24" x14ac:dyDescent="0.3">
      <c r="A6" s="30" t="s">
        <v>108</v>
      </c>
    </row>
    <row r="7" spans="1:8" ht="16" thickBot="1" x14ac:dyDescent="0.25"/>
    <row r="8" spans="1:8" x14ac:dyDescent="0.2">
      <c r="A8" s="18" t="s">
        <v>137</v>
      </c>
      <c r="B8" s="5"/>
      <c r="C8" s="19"/>
    </row>
    <row r="9" spans="1:8" x14ac:dyDescent="0.2">
      <c r="A9" s="20"/>
      <c r="B9" s="17" t="s">
        <v>19</v>
      </c>
      <c r="C9" s="21" t="s">
        <v>15</v>
      </c>
    </row>
    <row r="10" spans="1:8" x14ac:dyDescent="0.2">
      <c r="A10" s="8" t="s">
        <v>3</v>
      </c>
      <c r="B10" s="3">
        <v>10.3</v>
      </c>
      <c r="C10" s="9" t="s">
        <v>4</v>
      </c>
    </row>
    <row r="11" spans="1:8" x14ac:dyDescent="0.2">
      <c r="A11" s="8" t="s">
        <v>12</v>
      </c>
      <c r="B11" s="3">
        <v>0.77</v>
      </c>
      <c r="C11" s="9" t="s">
        <v>16</v>
      </c>
    </row>
    <row r="12" spans="1:8" x14ac:dyDescent="0.2">
      <c r="A12" s="8" t="s">
        <v>13</v>
      </c>
      <c r="B12" s="3">
        <v>58.47</v>
      </c>
      <c r="C12" s="9" t="s">
        <v>17</v>
      </c>
    </row>
    <row r="13" spans="1:8" x14ac:dyDescent="0.2">
      <c r="A13" s="8" t="s">
        <v>14</v>
      </c>
      <c r="B13" s="3">
        <v>0</v>
      </c>
      <c r="C13" s="9" t="s">
        <v>5</v>
      </c>
    </row>
    <row r="14" spans="1:8" x14ac:dyDescent="0.2">
      <c r="A14" s="25" t="s">
        <v>99</v>
      </c>
      <c r="B14" s="14">
        <v>324.39999999999998</v>
      </c>
      <c r="C14" s="16" t="s">
        <v>101</v>
      </c>
    </row>
    <row r="15" spans="1:8" ht="16" thickBot="1" x14ac:dyDescent="0.25">
      <c r="A15" s="26" t="s">
        <v>100</v>
      </c>
      <c r="B15" s="13">
        <v>321</v>
      </c>
      <c r="C15" s="24" t="s">
        <v>101</v>
      </c>
    </row>
    <row r="18" spans="1:3" ht="24" x14ac:dyDescent="0.3">
      <c r="A18" s="30" t="s">
        <v>107</v>
      </c>
    </row>
    <row r="19" spans="1:3" ht="16" thickBot="1" x14ac:dyDescent="0.25"/>
    <row r="20" spans="1:3" x14ac:dyDescent="0.2">
      <c r="A20" s="18" t="s">
        <v>137</v>
      </c>
      <c r="B20" s="5"/>
      <c r="C20" s="19"/>
    </row>
    <row r="21" spans="1:3" x14ac:dyDescent="0.2">
      <c r="A21" s="20"/>
      <c r="B21" s="17" t="s">
        <v>19</v>
      </c>
      <c r="C21" s="21" t="s">
        <v>15</v>
      </c>
    </row>
    <row r="22" spans="1:3" x14ac:dyDescent="0.2">
      <c r="A22" s="8" t="s">
        <v>3</v>
      </c>
      <c r="B22" s="3">
        <v>1.45</v>
      </c>
      <c r="C22" s="9" t="s">
        <v>4</v>
      </c>
    </row>
    <row r="23" spans="1:3" x14ac:dyDescent="0.2">
      <c r="A23" s="8" t="s">
        <v>12</v>
      </c>
      <c r="B23" s="3">
        <v>1.36</v>
      </c>
      <c r="C23" s="9" t="s">
        <v>16</v>
      </c>
    </row>
    <row r="24" spans="1:3" x14ac:dyDescent="0.2">
      <c r="A24" s="8" t="s">
        <v>13</v>
      </c>
      <c r="B24" s="3">
        <v>95.6</v>
      </c>
      <c r="C24" s="9" t="s">
        <v>17</v>
      </c>
    </row>
    <row r="25" spans="1:3" x14ac:dyDescent="0.2">
      <c r="A25" s="8" t="s">
        <v>14</v>
      </c>
      <c r="B25" s="3">
        <v>20.6</v>
      </c>
      <c r="C25" s="9" t="s">
        <v>5</v>
      </c>
    </row>
    <row r="26" spans="1:3" x14ac:dyDescent="0.2">
      <c r="A26" s="25" t="s">
        <v>99</v>
      </c>
      <c r="B26" s="14">
        <v>40.799999999999997</v>
      </c>
      <c r="C26" s="16" t="s">
        <v>101</v>
      </c>
    </row>
    <row r="27" spans="1:3" ht="16" thickBot="1" x14ac:dyDescent="0.25">
      <c r="A27" s="26" t="s">
        <v>100</v>
      </c>
      <c r="B27" s="13">
        <v>327.9</v>
      </c>
      <c r="C27" s="24" t="s">
        <v>101</v>
      </c>
    </row>
    <row r="30" spans="1:3" ht="24" x14ac:dyDescent="0.3">
      <c r="A30" s="30" t="s">
        <v>109</v>
      </c>
    </row>
    <row r="31" spans="1:3" ht="16" thickBot="1" x14ac:dyDescent="0.25"/>
    <row r="32" spans="1:3" x14ac:dyDescent="0.2">
      <c r="A32" s="18" t="s">
        <v>137</v>
      </c>
      <c r="B32" s="5"/>
      <c r="C32" s="19"/>
    </row>
    <row r="33" spans="1:3" x14ac:dyDescent="0.2">
      <c r="A33" s="20"/>
      <c r="B33" s="17" t="s">
        <v>19</v>
      </c>
      <c r="C33" s="21" t="s">
        <v>15</v>
      </c>
    </row>
    <row r="34" spans="1:3" x14ac:dyDescent="0.2">
      <c r="A34" s="8" t="s">
        <v>3</v>
      </c>
      <c r="B34" s="3">
        <v>5</v>
      </c>
      <c r="C34" s="9" t="s">
        <v>4</v>
      </c>
    </row>
    <row r="35" spans="1:3" x14ac:dyDescent="0.2">
      <c r="A35" s="8" t="s">
        <v>12</v>
      </c>
      <c r="B35" s="3">
        <v>8</v>
      </c>
      <c r="C35" s="9" t="s">
        <v>16</v>
      </c>
    </row>
    <row r="36" spans="1:3" x14ac:dyDescent="0.2">
      <c r="A36" s="8" t="s">
        <v>13</v>
      </c>
      <c r="B36" s="3">
        <v>100</v>
      </c>
      <c r="C36" s="9" t="s">
        <v>17</v>
      </c>
    </row>
    <row r="37" spans="1:3" x14ac:dyDescent="0.2">
      <c r="A37" s="8" t="s">
        <v>14</v>
      </c>
      <c r="B37" s="3">
        <v>60</v>
      </c>
      <c r="C37" s="9" t="s">
        <v>5</v>
      </c>
    </row>
    <row r="38" spans="1:3" x14ac:dyDescent="0.2">
      <c r="A38" s="25" t="s">
        <v>99</v>
      </c>
      <c r="B38" s="14">
        <v>30</v>
      </c>
      <c r="C38" s="16" t="s">
        <v>101</v>
      </c>
    </row>
    <row r="39" spans="1:3" ht="16" thickBot="1" x14ac:dyDescent="0.25">
      <c r="A39" s="26" t="s">
        <v>100</v>
      </c>
      <c r="B39" s="13">
        <v>325.10000000000002</v>
      </c>
      <c r="C39" s="24" t="s">
        <v>101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0"/>
  <sheetViews>
    <sheetView workbookViewId="0">
      <selection activeCell="A31" sqref="A31:C36"/>
    </sheetView>
  </sheetViews>
  <sheetFormatPr baseColWidth="10" defaultColWidth="8.83203125" defaultRowHeight="15" x14ac:dyDescent="0.2"/>
  <cols>
    <col min="1" max="1" width="27.5" customWidth="1"/>
    <col min="2" max="2" width="19" customWidth="1"/>
    <col min="3" max="3" width="13.1640625" bestFit="1" customWidth="1"/>
    <col min="10" max="10" width="17.5" bestFit="1" customWidth="1"/>
    <col min="11" max="11" width="10.5" bestFit="1" customWidth="1"/>
  </cols>
  <sheetData>
    <row r="1" spans="1:19" x14ac:dyDescent="0.2">
      <c r="A1" t="s">
        <v>105</v>
      </c>
    </row>
    <row r="3" spans="1:19" ht="26" x14ac:dyDescent="0.3">
      <c r="A3" s="31" t="s">
        <v>138</v>
      </c>
      <c r="C3" s="2"/>
      <c r="J3" s="44"/>
      <c r="K3" s="44"/>
      <c r="L3" s="44"/>
      <c r="M3" s="44"/>
    </row>
    <row r="4" spans="1:19" ht="24" x14ac:dyDescent="0.3">
      <c r="A4" s="30" t="s">
        <v>139</v>
      </c>
      <c r="J4" s="45"/>
      <c r="K4" s="46"/>
      <c r="M4" s="47"/>
    </row>
    <row r="5" spans="1:19" ht="24" x14ac:dyDescent="0.3">
      <c r="A5" s="30"/>
      <c r="J5" s="45"/>
      <c r="K5" s="46"/>
      <c r="M5" s="47"/>
    </row>
    <row r="6" spans="1:19" ht="21" x14ac:dyDescent="0.25">
      <c r="A6" s="73" t="s">
        <v>149</v>
      </c>
      <c r="J6" s="45"/>
      <c r="K6" s="46"/>
      <c r="M6" s="47"/>
    </row>
    <row r="7" spans="1:19" x14ac:dyDescent="0.2">
      <c r="J7" s="45"/>
      <c r="P7" s="46"/>
      <c r="Q7" t="s">
        <v>146</v>
      </c>
      <c r="R7" s="47"/>
      <c r="S7" t="s">
        <v>148</v>
      </c>
    </row>
    <row r="8" spans="1:19" ht="22" thickBot="1" x14ac:dyDescent="0.3">
      <c r="A8" s="72" t="s">
        <v>144</v>
      </c>
      <c r="B8" s="72"/>
      <c r="J8" s="45"/>
      <c r="P8" s="46"/>
      <c r="Q8" t="s">
        <v>145</v>
      </c>
      <c r="R8" s="47"/>
    </row>
    <row r="9" spans="1:19" x14ac:dyDescent="0.2">
      <c r="A9" s="18" t="s">
        <v>94</v>
      </c>
      <c r="B9" s="5"/>
      <c r="C9" s="19"/>
      <c r="J9" s="45"/>
      <c r="P9" s="46" t="s">
        <v>147</v>
      </c>
      <c r="Q9" t="s">
        <v>151</v>
      </c>
      <c r="R9" s="47"/>
    </row>
    <row r="10" spans="1:19" x14ac:dyDescent="0.2">
      <c r="A10" s="20"/>
      <c r="B10" s="17" t="s">
        <v>19</v>
      </c>
      <c r="C10" s="21" t="s">
        <v>15</v>
      </c>
    </row>
    <row r="11" spans="1:19" x14ac:dyDescent="0.2">
      <c r="A11" s="8" t="s">
        <v>3</v>
      </c>
      <c r="B11" s="3">
        <v>2</v>
      </c>
      <c r="C11" s="9" t="s">
        <v>4</v>
      </c>
    </row>
    <row r="12" spans="1:19" x14ac:dyDescent="0.2">
      <c r="A12" s="8" t="s">
        <v>12</v>
      </c>
      <c r="B12" s="3">
        <v>6</v>
      </c>
      <c r="C12" s="9" t="s">
        <v>16</v>
      </c>
    </row>
    <row r="13" spans="1:19" x14ac:dyDescent="0.2">
      <c r="A13" s="8" t="s">
        <v>13</v>
      </c>
      <c r="B13" s="3">
        <v>100</v>
      </c>
      <c r="C13" s="9" t="s">
        <v>17</v>
      </c>
    </row>
    <row r="14" spans="1:19" x14ac:dyDescent="0.2">
      <c r="A14" s="8" t="s">
        <v>14</v>
      </c>
      <c r="B14" s="3">
        <v>254</v>
      </c>
      <c r="C14" s="9" t="s">
        <v>5</v>
      </c>
      <c r="E14" t="s">
        <v>140</v>
      </c>
    </row>
    <row r="15" spans="1:19" x14ac:dyDescent="0.2">
      <c r="A15" s="25" t="s">
        <v>99</v>
      </c>
      <c r="B15" s="14">
        <v>56</v>
      </c>
      <c r="C15" s="16" t="s">
        <v>101</v>
      </c>
      <c r="E15" t="s">
        <v>141</v>
      </c>
    </row>
    <row r="16" spans="1:19" ht="16" thickBot="1" x14ac:dyDescent="0.25">
      <c r="A16" s="26" t="s">
        <v>100</v>
      </c>
      <c r="B16" s="13">
        <v>340</v>
      </c>
      <c r="C16" s="24" t="s">
        <v>101</v>
      </c>
      <c r="E16" t="s">
        <v>142</v>
      </c>
    </row>
    <row r="18" spans="1:3" ht="22" thickBot="1" x14ac:dyDescent="0.3">
      <c r="A18" s="72" t="s">
        <v>143</v>
      </c>
      <c r="B18" s="72"/>
    </row>
    <row r="19" spans="1:3" x14ac:dyDescent="0.2">
      <c r="A19" s="18" t="s">
        <v>94</v>
      </c>
      <c r="B19" s="5"/>
      <c r="C19" s="19"/>
    </row>
    <row r="20" spans="1:3" x14ac:dyDescent="0.2">
      <c r="A20" s="20"/>
      <c r="B20" s="17" t="s">
        <v>19</v>
      </c>
      <c r="C20" s="21" t="s">
        <v>15</v>
      </c>
    </row>
    <row r="21" spans="1:3" x14ac:dyDescent="0.2">
      <c r="A21" s="8" t="s">
        <v>3</v>
      </c>
      <c r="B21" s="3">
        <v>4</v>
      </c>
      <c r="C21" s="9" t="s">
        <v>4</v>
      </c>
    </row>
    <row r="22" spans="1:3" x14ac:dyDescent="0.2">
      <c r="A22" s="8" t="s">
        <v>12</v>
      </c>
      <c r="B22" s="3">
        <v>6</v>
      </c>
      <c r="C22" s="9" t="s">
        <v>16</v>
      </c>
    </row>
    <row r="23" spans="1:3" x14ac:dyDescent="0.2">
      <c r="A23" s="8" t="s">
        <v>13</v>
      </c>
      <c r="B23" s="3">
        <v>100</v>
      </c>
      <c r="C23" s="9" t="s">
        <v>17</v>
      </c>
    </row>
    <row r="24" spans="1:3" x14ac:dyDescent="0.2">
      <c r="A24" s="8" t="s">
        <v>14</v>
      </c>
      <c r="B24" s="3">
        <v>177</v>
      </c>
      <c r="C24" s="9" t="s">
        <v>5</v>
      </c>
    </row>
    <row r="25" spans="1:3" x14ac:dyDescent="0.2">
      <c r="A25" s="25" t="s">
        <v>99</v>
      </c>
      <c r="B25" s="14">
        <v>56</v>
      </c>
      <c r="C25" s="16" t="s">
        <v>101</v>
      </c>
    </row>
    <row r="26" spans="1:3" ht="16" thickBot="1" x14ac:dyDescent="0.25">
      <c r="A26" s="26" t="s">
        <v>100</v>
      </c>
      <c r="B26" s="13">
        <v>340</v>
      </c>
      <c r="C26" s="24" t="s">
        <v>101</v>
      </c>
    </row>
    <row r="28" spans="1:3" ht="22" thickBot="1" x14ac:dyDescent="0.3">
      <c r="A28" s="72" t="s">
        <v>150</v>
      </c>
      <c r="B28" s="72"/>
    </row>
    <row r="29" spans="1:3" x14ac:dyDescent="0.2">
      <c r="A29" s="18" t="s">
        <v>94</v>
      </c>
      <c r="B29" s="5"/>
      <c r="C29" s="19"/>
    </row>
    <row r="30" spans="1:3" x14ac:dyDescent="0.2">
      <c r="A30" s="20"/>
      <c r="B30" s="17" t="s">
        <v>19</v>
      </c>
      <c r="C30" s="21" t="s">
        <v>15</v>
      </c>
    </row>
    <row r="31" spans="1:3" x14ac:dyDescent="0.2">
      <c r="A31" s="8" t="s">
        <v>3</v>
      </c>
      <c r="B31" s="3">
        <v>6</v>
      </c>
      <c r="C31" s="9" t="s">
        <v>4</v>
      </c>
    </row>
    <row r="32" spans="1:3" x14ac:dyDescent="0.2">
      <c r="A32" s="8" t="s">
        <v>12</v>
      </c>
      <c r="B32" s="3">
        <v>6</v>
      </c>
      <c r="C32" s="9" t="s">
        <v>16</v>
      </c>
    </row>
    <row r="33" spans="1:3" x14ac:dyDescent="0.2">
      <c r="A33" s="8" t="s">
        <v>13</v>
      </c>
      <c r="B33" s="3">
        <v>100</v>
      </c>
      <c r="C33" s="9" t="s">
        <v>17</v>
      </c>
    </row>
    <row r="34" spans="1:3" x14ac:dyDescent="0.2">
      <c r="A34" s="8" t="s">
        <v>14</v>
      </c>
      <c r="B34" s="3">
        <v>30</v>
      </c>
      <c r="C34" s="9" t="s">
        <v>5</v>
      </c>
    </row>
    <row r="35" spans="1:3" x14ac:dyDescent="0.2">
      <c r="A35" s="25" t="s">
        <v>99</v>
      </c>
      <c r="B35" s="14">
        <v>56</v>
      </c>
      <c r="C35" s="16" t="s">
        <v>101</v>
      </c>
    </row>
    <row r="36" spans="1:3" ht="16" thickBot="1" x14ac:dyDescent="0.25">
      <c r="A36" s="26" t="s">
        <v>100</v>
      </c>
      <c r="B36" s="13">
        <v>340</v>
      </c>
      <c r="C36" s="24" t="s">
        <v>101</v>
      </c>
    </row>
    <row r="53" spans="1:3" x14ac:dyDescent="0.2">
      <c r="A53" s="74"/>
      <c r="B53" s="3"/>
      <c r="C53" s="3"/>
    </row>
    <row r="54" spans="1:3" x14ac:dyDescent="0.2">
      <c r="A54" s="3"/>
      <c r="B54" s="17"/>
      <c r="C54" s="17"/>
    </row>
    <row r="55" spans="1:3" x14ac:dyDescent="0.2">
      <c r="A55" s="3"/>
      <c r="B55" s="22"/>
      <c r="C55" s="22"/>
    </row>
    <row r="56" spans="1:3" x14ac:dyDescent="0.2">
      <c r="A56" s="3"/>
      <c r="B56" s="3"/>
      <c r="C56" s="3"/>
    </row>
    <row r="57" spans="1:3" x14ac:dyDescent="0.2">
      <c r="A57" s="3"/>
      <c r="B57" s="3"/>
      <c r="C57" s="3"/>
    </row>
    <row r="58" spans="1:3" x14ac:dyDescent="0.2">
      <c r="A58" s="3"/>
      <c r="B58" s="3"/>
      <c r="C58" s="3"/>
    </row>
    <row r="59" spans="1:3" x14ac:dyDescent="0.2">
      <c r="A59" s="3"/>
      <c r="B59" s="3"/>
      <c r="C59" s="3"/>
    </row>
    <row r="60" spans="1:3" x14ac:dyDescent="0.2">
      <c r="A60" s="14"/>
      <c r="B60" s="14"/>
      <c r="C60" s="14"/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Simple Snow Melt Model</vt:lpstr>
      <vt:lpstr>INPUT Options</vt:lpstr>
      <vt:lpstr>Historic Snoquamlie Flood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nicway</dc:creator>
  <cp:lastModifiedBy>Microsoft Office User</cp:lastModifiedBy>
  <dcterms:created xsi:type="dcterms:W3CDTF">2013-06-26T19:23:23Z</dcterms:created>
  <dcterms:modified xsi:type="dcterms:W3CDTF">2020-02-11T23:19:02Z</dcterms:modified>
</cp:coreProperties>
</file>